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525" windowWidth="10245" windowHeight="7635" tabRatio="791" firstSheet="3" activeTab="9"/>
  </bookViews>
  <sheets>
    <sheet name="Dashboard" sheetId="33" r:id="rId1"/>
    <sheet name="Demographic" sheetId="22" r:id="rId2"/>
    <sheet name="Displacement Trends" sheetId="28" r:id="rId3"/>
    <sheet name="Return Trends" sheetId="31" r:id="rId4"/>
    <sheet name="Settlement_totals" sheetId="21" r:id="rId5"/>
    <sheet name="Locations" sheetId="15" r:id="rId6"/>
    <sheet name="Displacement_Periods" sheetId="3" r:id="rId7"/>
    <sheet name="Displacement_Reasons (IDPs_Ref)" sheetId="27" r:id="rId8"/>
    <sheet name="Organizations" sheetId="25" r:id="rId9"/>
    <sheet name="Total_data" sheetId="5" r:id="rId10"/>
  </sheets>
  <definedNames>
    <definedName name="_xlnm._FilterDatabase" localSheetId="0" hidden="1">Dashboard!$A$1:$AD$40</definedName>
    <definedName name="_xlnm._FilterDatabase" localSheetId="6" hidden="1">Displacement_Periods!$A$1:$Y$122</definedName>
    <definedName name="_xlnm._FilterDatabase" localSheetId="5" hidden="1">Locations!$A$1:$I$342</definedName>
    <definedName name="_xlnm._FilterDatabase" localSheetId="8" hidden="1">Organizations!$A$1:$F$118</definedName>
    <definedName name="_xlnm._FilterDatabase" localSheetId="9" hidden="1">Total_data!$A$1:$Y$178</definedName>
    <definedName name="b2f_sommaire_1" localSheetId="0">Dashboard!$A$1:$AD$40</definedName>
    <definedName name="departs_avril2016" localSheetId="9">Total_data!$AB$2:$AB$25</definedName>
    <definedName name="departs_avril2016_1" localSheetId="9">Total_data!$AC$2:$AX$25</definedName>
    <definedName name="idp_ref_ret_avril2016" localSheetId="6">Displacement_Periods!$A$1:$Y$122</definedName>
    <definedName name="idp_ref_ret_avril2016" localSheetId="9">Total_data!$A$1:$Y$175</definedName>
    <definedName name="Organisations">#REF!</definedName>
    <definedName name="organisations_presentes" localSheetId="8">Organizations!$A$2:$F$118</definedName>
  </definedNames>
  <calcPr calcId="145621"/>
  <pivotCaches>
    <pivotCache cacheId="0" r:id="rId11"/>
    <pivotCache cacheId="1" r:id="rId12"/>
    <pivotCache cacheId="2" r:id="rId13"/>
    <pivotCache cacheId="9" r:id="rId14"/>
    <pivotCache cacheId="7" r:id="rId15"/>
    <pivotCache cacheId="5" r:id="rId1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6" i="27" l="1"/>
  <c r="E96" i="27"/>
  <c r="D96" i="27"/>
  <c r="G96" i="27" l="1"/>
  <c r="D48" i="28"/>
  <c r="G37" i="28"/>
  <c r="G35" i="28"/>
  <c r="G38" i="28"/>
  <c r="G36" i="28"/>
  <c r="G34" i="28"/>
  <c r="G33" i="28"/>
  <c r="D47" i="31"/>
  <c r="D46" i="31"/>
  <c r="D45" i="31"/>
  <c r="D44" i="31"/>
  <c r="I21" i="31"/>
  <c r="I20" i="31"/>
  <c r="I19" i="31"/>
  <c r="I18" i="31"/>
  <c r="H21" i="31"/>
  <c r="H20" i="31"/>
  <c r="H19" i="31"/>
  <c r="H18" i="31"/>
  <c r="G21" i="31"/>
  <c r="G20" i="31"/>
  <c r="G19" i="31"/>
  <c r="G18" i="31"/>
  <c r="F21" i="31"/>
  <c r="F20" i="31"/>
  <c r="F19" i="31"/>
  <c r="F18" i="31"/>
  <c r="E21" i="31"/>
  <c r="E20" i="31"/>
  <c r="E19" i="31"/>
  <c r="E18" i="31"/>
  <c r="D21" i="31"/>
  <c r="D20" i="31"/>
  <c r="D19" i="31"/>
  <c r="D18" i="31"/>
  <c r="D48" i="31" l="1"/>
  <c r="E44" i="31" s="1"/>
  <c r="D22" i="31"/>
  <c r="J18" i="31"/>
  <c r="J19" i="31"/>
  <c r="J20" i="31"/>
  <c r="J21" i="31"/>
  <c r="E22" i="31"/>
  <c r="F22" i="31"/>
  <c r="G22" i="31"/>
  <c r="H22" i="31"/>
  <c r="I22" i="31"/>
  <c r="G39" i="28"/>
  <c r="N84" i="28"/>
  <c r="N83" i="28"/>
  <c r="N82" i="28"/>
  <c r="N77" i="28"/>
  <c r="N78" i="28"/>
  <c r="N79" i="28"/>
  <c r="E46" i="31" l="1"/>
  <c r="E47" i="31"/>
  <c r="E45" i="31"/>
  <c r="J22" i="31"/>
  <c r="F48" i="28"/>
  <c r="H48" i="28" s="1"/>
  <c r="F47" i="28"/>
  <c r="D47" i="28"/>
  <c r="N11" i="28"/>
  <c r="N10" i="28"/>
  <c r="N9" i="28"/>
  <c r="N8" i="28"/>
  <c r="N7" i="28"/>
  <c r="N6" i="28"/>
  <c r="N5" i="28"/>
  <c r="G11" i="28"/>
  <c r="G10" i="28"/>
  <c r="G9" i="28"/>
  <c r="G8" i="28"/>
  <c r="G7" i="28"/>
  <c r="G6" i="28"/>
  <c r="G5" i="28"/>
  <c r="K12" i="28"/>
  <c r="L12" i="28"/>
  <c r="M12" i="28"/>
  <c r="D12" i="28"/>
  <c r="E12" i="28"/>
  <c r="F12" i="28"/>
  <c r="F46" i="28"/>
  <c r="D46" i="28"/>
  <c r="D45" i="28"/>
  <c r="F45" i="28"/>
  <c r="N12" i="28" l="1"/>
  <c r="E48" i="31"/>
  <c r="G12" i="28"/>
  <c r="H47" i="28"/>
  <c r="H46" i="28"/>
  <c r="H45" i="28"/>
  <c r="F49" i="28"/>
  <c r="G47" i="28" s="1"/>
  <c r="D49" i="28"/>
  <c r="M10" i="21"/>
  <c r="M9" i="21"/>
  <c r="M8" i="21"/>
  <c r="M7" i="21"/>
  <c r="L10" i="21"/>
  <c r="L9" i="21"/>
  <c r="L8" i="21"/>
  <c r="L7" i="21"/>
  <c r="K10" i="21"/>
  <c r="K9" i="21"/>
  <c r="K8" i="21"/>
  <c r="K7" i="21"/>
  <c r="J10" i="21"/>
  <c r="J9" i="21"/>
  <c r="J8" i="21"/>
  <c r="J7" i="21"/>
  <c r="I10" i="21"/>
  <c r="I9" i="21"/>
  <c r="I8" i="21"/>
  <c r="I7" i="21"/>
  <c r="M6" i="21"/>
  <c r="L6" i="21"/>
  <c r="K6" i="21"/>
  <c r="J6" i="21"/>
  <c r="I6" i="21"/>
  <c r="M5" i="21"/>
  <c r="L5" i="21"/>
  <c r="K5" i="21"/>
  <c r="J5" i="21"/>
  <c r="I5" i="21"/>
  <c r="E48" i="28" l="1"/>
  <c r="H49" i="28"/>
  <c r="G45" i="28"/>
  <c r="G48" i="28"/>
  <c r="G46" i="28"/>
  <c r="E45" i="28"/>
  <c r="E46" i="28"/>
  <c r="E47" i="28"/>
  <c r="N62" i="27"/>
  <c r="M66" i="27"/>
  <c r="N67" i="27"/>
  <c r="N63" i="27"/>
  <c r="L66" i="27"/>
  <c r="L62" i="27"/>
  <c r="M65" i="27"/>
  <c r="M61" i="27"/>
  <c r="L67" i="27"/>
  <c r="L61" i="27"/>
  <c r="L63" i="27"/>
  <c r="M62" i="27"/>
  <c r="N65" i="27"/>
  <c r="N61" i="27"/>
  <c r="L64" i="27"/>
  <c r="M67" i="27"/>
  <c r="M63" i="27"/>
  <c r="N64" i="27"/>
  <c r="L65" i="27"/>
  <c r="M64" i="27"/>
  <c r="N66" i="27"/>
  <c r="I46" i="28" l="1"/>
  <c r="I47" i="28"/>
  <c r="I45" i="28"/>
  <c r="I48" i="28"/>
  <c r="G49" i="28"/>
  <c r="E49" i="28"/>
  <c r="N26" i="27"/>
  <c r="L24" i="27"/>
  <c r="M20" i="27"/>
  <c r="N22" i="27"/>
  <c r="L26" i="27"/>
  <c r="L21" i="27"/>
  <c r="M23" i="27"/>
  <c r="M24" i="27"/>
  <c r="N21" i="27"/>
  <c r="L22" i="27"/>
  <c r="M21" i="27"/>
  <c r="N20" i="27"/>
  <c r="M25" i="27"/>
  <c r="N23" i="27"/>
  <c r="N24" i="27"/>
  <c r="L25" i="27"/>
  <c r="L20" i="27"/>
  <c r="M22" i="27"/>
  <c r="N25" i="27"/>
  <c r="L23" i="27"/>
  <c r="M26" i="27"/>
  <c r="I49" i="28" l="1"/>
  <c r="D41" i="22" l="1"/>
  <c r="C49" i="22" s="1"/>
  <c r="E41" i="22"/>
  <c r="B50" i="22" s="1"/>
  <c r="F41" i="22"/>
  <c r="C50" i="22" s="1"/>
  <c r="G41" i="22"/>
  <c r="B51" i="22" s="1"/>
  <c r="H41" i="22"/>
  <c r="C51" i="22" s="1"/>
  <c r="I41" i="22"/>
  <c r="B52" i="22" s="1"/>
  <c r="J41" i="22"/>
  <c r="C52" i="22" s="1"/>
  <c r="K41" i="22"/>
  <c r="B53" i="22" s="1"/>
  <c r="L41" i="22"/>
  <c r="C53" i="22" s="1"/>
  <c r="M41" i="22"/>
  <c r="B54" i="22" s="1"/>
  <c r="N41" i="22"/>
  <c r="C54" i="22" s="1"/>
  <c r="O41" i="22"/>
  <c r="B55" i="22" s="1"/>
  <c r="P41" i="22"/>
  <c r="C55" i="22" s="1"/>
  <c r="Q41" i="22"/>
  <c r="B56" i="22" s="1"/>
  <c r="R41" i="22"/>
  <c r="C56" i="22" s="1"/>
  <c r="C41" i="22"/>
  <c r="B49" i="22" s="1"/>
  <c r="D49" i="22" l="1"/>
  <c r="B57" i="22"/>
  <c r="G49" i="22" s="1"/>
  <c r="C64" i="22" l="1"/>
  <c r="G50" i="22"/>
  <c r="C63" i="22"/>
  <c r="B63" i="22" s="1"/>
  <c r="D55" i="22" l="1"/>
  <c r="D51" i="22"/>
  <c r="G52" i="22"/>
  <c r="D53" i="22"/>
  <c r="D50" i="22"/>
  <c r="D52" i="22"/>
  <c r="D54" i="22"/>
  <c r="D56" i="22"/>
  <c r="C57" i="22"/>
  <c r="E64" i="22" s="1"/>
  <c r="F64" i="22" s="1"/>
  <c r="H49" i="22" l="1"/>
  <c r="E68" i="22"/>
  <c r="F68" i="22" s="1"/>
  <c r="E63" i="22"/>
  <c r="F63" i="22" s="1"/>
  <c r="H56" i="22"/>
  <c r="C66" i="22"/>
  <c r="B66" i="22" s="1"/>
  <c r="H54" i="22"/>
  <c r="G56" i="22"/>
  <c r="C70" i="22"/>
  <c r="B70" i="22" s="1"/>
  <c r="C67" i="22"/>
  <c r="B67" i="22" s="1"/>
  <c r="B64" i="22"/>
  <c r="C65" i="22"/>
  <c r="B65" i="22" s="1"/>
  <c r="E70" i="22"/>
  <c r="F70" i="22" s="1"/>
  <c r="E66" i="22"/>
  <c r="F66" i="22" s="1"/>
  <c r="E69" i="22"/>
  <c r="F69" i="22" s="1"/>
  <c r="C69" i="22"/>
  <c r="B69" i="22" s="1"/>
  <c r="E67" i="22"/>
  <c r="F67" i="22" s="1"/>
  <c r="C68" i="22"/>
  <c r="B68" i="22" s="1"/>
  <c r="E65" i="22"/>
  <c r="F65" i="22" s="1"/>
  <c r="G55" i="22"/>
  <c r="G51" i="22"/>
  <c r="H55" i="22"/>
  <c r="H51" i="22"/>
  <c r="H52" i="22"/>
  <c r="G53" i="22"/>
  <c r="H53" i="22"/>
  <c r="H50" i="22"/>
  <c r="G54" i="22"/>
  <c r="D57" i="22"/>
  <c r="P10" i="21"/>
  <c r="Q9" i="21" s="1"/>
  <c r="G57" i="22" l="1"/>
  <c r="H57" i="22"/>
  <c r="I54" i="22"/>
  <c r="I49" i="22"/>
  <c r="I56" i="22"/>
  <c r="I53" i="22"/>
  <c r="I52" i="22"/>
  <c r="I51" i="22"/>
  <c r="I55" i="22"/>
  <c r="I50" i="22"/>
  <c r="Q8" i="21"/>
  <c r="Q7" i="21"/>
  <c r="Q5" i="21"/>
  <c r="Q6" i="21"/>
  <c r="I57" i="22" l="1"/>
  <c r="Q10" i="21"/>
</calcChain>
</file>

<file path=xl/connections.xml><?xml version="1.0" encoding="utf-8"?>
<connections xmlns="http://schemas.openxmlformats.org/spreadsheetml/2006/main">
  <connection id="1" name="b2f_sommaire1" type="6" refreshedVersion="4" background="1" saveData="1">
    <textPr codePage="65001" sourceFile="D:\IOM\DTM Cameroon\DTM2016\round3_Avril_2016\Analyses\Datas\Sommaire\b2f_sommaire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parts_avril2016" type="6" refreshedVersion="4" background="1" saveData="1">
    <textPr codePage="65001" sourceFile="D:\IOM\DTM Cameroon\DTM2016\round3_Avril_2016\Analyses\Datas\Data_deplaces\departs_avril2016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idp_ref_ret_avril2016" type="6" refreshedVersion="4" background="1" saveData="1">
    <textPr codePage="65001" sourceFile="D:\IOM\DTM Cameroon\DTM2016\round3_Avril_2016\Analyses\Datas\Data_deplaces\idp_ref_ret_avril2016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idp_ref_ret_avril20161" type="6" refreshedVersion="4" background="1" saveData="1">
    <textPr codePage="65001" sourceFile="D:\IOM\DTM Cameroon\DTM2016\round3_Avril_2016\Analyses\Datas\Data_deplaces\idp_ref_ret_avril2016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organisations_presentes" type="6" refreshedVersion="4" deleted="1" background="1" saveData="1">
    <textPr codePage="65001" sourceFile="D:\IOM\DTM Cameroon\DTM2016\round3_Avril_2016\Analyses\Datas\Data_deplaces\organisations_presentes.csv" thousands=" 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<sst xmlns="http://schemas.openxmlformats.org/spreadsheetml/2006/main" count="16295" uniqueCount="1257">
  <si>
    <t>Arrondissement</t>
  </si>
  <si>
    <t>IDP</t>
  </si>
  <si>
    <t>Mayo-Tsanaga</t>
  </si>
  <si>
    <t>Koza</t>
  </si>
  <si>
    <t>Mayo-Kani</t>
  </si>
  <si>
    <t>Moulvoudaye</t>
  </si>
  <si>
    <t>CMR</t>
  </si>
  <si>
    <t>Logone-Et-Chari</t>
  </si>
  <si>
    <t>Makary</t>
  </si>
  <si>
    <t>Zina</t>
  </si>
  <si>
    <t>Mayo-Danay</t>
  </si>
  <si>
    <t>Diamare</t>
  </si>
  <si>
    <t>Dargala</t>
  </si>
  <si>
    <t>CAF</t>
  </si>
  <si>
    <t>Bourha</t>
  </si>
  <si>
    <t>Darak</t>
  </si>
  <si>
    <t>Mozogo</t>
  </si>
  <si>
    <t>Maga</t>
  </si>
  <si>
    <t>Blangoua</t>
  </si>
  <si>
    <t>Goulfey</t>
  </si>
  <si>
    <t>Gobo</t>
  </si>
  <si>
    <t>Fotokol</t>
  </si>
  <si>
    <t>Mindif</t>
  </si>
  <si>
    <t>Meri</t>
  </si>
  <si>
    <t>Maroua III</t>
  </si>
  <si>
    <t>Waza</t>
  </si>
  <si>
    <t>Bogo</t>
  </si>
  <si>
    <t>Mayo-Sava</t>
  </si>
  <si>
    <t>Mora</t>
  </si>
  <si>
    <t>Yagoua</t>
  </si>
  <si>
    <t>Gazawa</t>
  </si>
  <si>
    <t>Kai-Kai</t>
  </si>
  <si>
    <t>Logone-Birni</t>
  </si>
  <si>
    <t>Kolofata</t>
  </si>
  <si>
    <t>Maroua II</t>
  </si>
  <si>
    <t>Mokolo</t>
  </si>
  <si>
    <t>Hina</t>
  </si>
  <si>
    <t>Maroua I</t>
  </si>
  <si>
    <t>Moutourwa</t>
  </si>
  <si>
    <t>ADM2_Code</t>
  </si>
  <si>
    <t>ADM3_Code</t>
  </si>
  <si>
    <t>ADM1_Code</t>
  </si>
  <si>
    <t>NGA008</t>
  </si>
  <si>
    <t>TCD011</t>
  </si>
  <si>
    <t>Region</t>
  </si>
  <si>
    <t>60+</t>
  </si>
  <si>
    <t>Age</t>
  </si>
  <si>
    <t>Female</t>
  </si>
  <si>
    <t>Male</t>
  </si>
  <si>
    <t>DJAFGUE</t>
  </si>
  <si>
    <t>CMR0040010089</t>
  </si>
  <si>
    <t>CMR0040010119</t>
  </si>
  <si>
    <t>KOURGNOUGNOU</t>
  </si>
  <si>
    <t>CMR0040010262</t>
  </si>
  <si>
    <t>CMR0040010273</t>
  </si>
  <si>
    <t>CMR0040020506</t>
  </si>
  <si>
    <t>CMR0040020720</t>
  </si>
  <si>
    <t>CMR0040021092</t>
  </si>
  <si>
    <t>CMR0040021205</t>
  </si>
  <si>
    <t>CMR0040021229</t>
  </si>
  <si>
    <t>CMR0040020247</t>
  </si>
  <si>
    <t>CMR0040020306</t>
  </si>
  <si>
    <t>CMR0040020788</t>
  </si>
  <si>
    <t>CMR0040021217</t>
  </si>
  <si>
    <t>CMR0040020249</t>
  </si>
  <si>
    <t>CMR0040020507</t>
  </si>
  <si>
    <t>CMR0040020711</t>
  </si>
  <si>
    <t>CMR0040020964</t>
  </si>
  <si>
    <t>CMR0040020134</t>
  </si>
  <si>
    <t>CMR0040020556</t>
  </si>
  <si>
    <t>CMR0040020570</t>
  </si>
  <si>
    <t>CMR0040021163</t>
  </si>
  <si>
    <t>CMR0040020207</t>
  </si>
  <si>
    <t>CMR0040020049</t>
  </si>
  <si>
    <t>CMR0040020097</t>
  </si>
  <si>
    <t>CMR0040020118</t>
  </si>
  <si>
    <t>CMR0040020192</t>
  </si>
  <si>
    <t>CMR0040020213</t>
  </si>
  <si>
    <t>CMR0040020775</t>
  </si>
  <si>
    <t>CMR0040020960</t>
  </si>
  <si>
    <t>CMR0040020007</t>
  </si>
  <si>
    <t>CMR0040020008</t>
  </si>
  <si>
    <t>CMR0040020743</t>
  </si>
  <si>
    <t>CMR0040030188</t>
  </si>
  <si>
    <t>CMR0040030371</t>
  </si>
  <si>
    <t>CMR0040030094</t>
  </si>
  <si>
    <t>CMR0040030182</t>
  </si>
  <si>
    <t>CMR0040030151</t>
  </si>
  <si>
    <t>CMR0040030166</t>
  </si>
  <si>
    <t>CMR0040040207</t>
  </si>
  <si>
    <t>Kaele</t>
  </si>
  <si>
    <t>CMR0040050021</t>
  </si>
  <si>
    <t>CMR0040050287</t>
  </si>
  <si>
    <t>CMR0040050296</t>
  </si>
  <si>
    <t>CMR0040050342</t>
  </si>
  <si>
    <t>CMR0040050347</t>
  </si>
  <si>
    <t>CMR0040060007</t>
  </si>
  <si>
    <t>CMR0040060171</t>
  </si>
  <si>
    <t>CMR0040060539</t>
  </si>
  <si>
    <t>Mogode</t>
  </si>
  <si>
    <t>CMR0040060142</t>
  </si>
  <si>
    <t>CMR0040060388</t>
  </si>
  <si>
    <t>CMR0040060399</t>
  </si>
  <si>
    <t>CMR0040060425</t>
  </si>
  <si>
    <t>CMR0040060546</t>
  </si>
  <si>
    <t>CMR0040060793</t>
  </si>
  <si>
    <t>CMR0040060097</t>
  </si>
  <si>
    <t>CMR0040060133</t>
  </si>
  <si>
    <t>CMR0040060314</t>
  </si>
  <si>
    <t>MADINA</t>
  </si>
  <si>
    <t>CMR0040060449</t>
  </si>
  <si>
    <t>CMR0040060811</t>
  </si>
  <si>
    <t>CMR0040060128</t>
  </si>
  <si>
    <t>CMR0040060329</t>
  </si>
  <si>
    <t>CMR0040060354</t>
  </si>
  <si>
    <t>CMR0040060419</t>
  </si>
  <si>
    <t>CMR0040060626</t>
  </si>
  <si>
    <t>CMR0040060643</t>
  </si>
  <si>
    <t>CMR0040060558</t>
  </si>
  <si>
    <t>CMR0040060585</t>
  </si>
  <si>
    <t>CMR0040060494</t>
  </si>
  <si>
    <t>CMR0040060043</t>
  </si>
  <si>
    <t>CROIX ROUGE</t>
  </si>
  <si>
    <t>UNICEF</t>
  </si>
  <si>
    <t>PLAN CAMEROUN</t>
  </si>
  <si>
    <t>PAM</t>
  </si>
  <si>
    <t>CICR</t>
  </si>
  <si>
    <t>CARE</t>
  </si>
  <si>
    <t>latrine</t>
  </si>
  <si>
    <t>SNV</t>
  </si>
  <si>
    <t>GIC NGADA DE GUEME</t>
  </si>
  <si>
    <t>MSF</t>
  </si>
  <si>
    <t>IEDA RELIEF</t>
  </si>
  <si>
    <t>Pette</t>
  </si>
  <si>
    <t>Kousseri</t>
  </si>
  <si>
    <t>Hile-Alifa</t>
  </si>
  <si>
    <t>Gueme</t>
  </si>
  <si>
    <t>Guere</t>
  </si>
  <si>
    <t>Guidiguis</t>
  </si>
  <si>
    <t>Tokombere</t>
  </si>
  <si>
    <t>Soulede-Roua</t>
  </si>
  <si>
    <t>CMR004</t>
  </si>
  <si>
    <t>CMR005</t>
  </si>
  <si>
    <t>CMR006</t>
  </si>
  <si>
    <t>CMR004001</t>
  </si>
  <si>
    <t>CMR004002</t>
  </si>
  <si>
    <t>CMR004003</t>
  </si>
  <si>
    <t>CMR004004</t>
  </si>
  <si>
    <t>CMR004005</t>
  </si>
  <si>
    <t>CMR004006</t>
  </si>
  <si>
    <t>CMR004001002</t>
  </si>
  <si>
    <t>CMR004001001</t>
  </si>
  <si>
    <t>CMR004001003</t>
  </si>
  <si>
    <t>CMR004001005</t>
  </si>
  <si>
    <t>CMR004001004</t>
  </si>
  <si>
    <t>CMR004001007</t>
  </si>
  <si>
    <t>CMR004001008</t>
  </si>
  <si>
    <t>CMR004002002</t>
  </si>
  <si>
    <t>CMR004002003</t>
  </si>
  <si>
    <t>CMR004002001</t>
  </si>
  <si>
    <t>CMR004002005</t>
  </si>
  <si>
    <t>CMR004002006</t>
  </si>
  <si>
    <t>CMR004002004</t>
  </si>
  <si>
    <t>CMR004002007</t>
  </si>
  <si>
    <t>CMR004002008</t>
  </si>
  <si>
    <t>CMR004002009</t>
  </si>
  <si>
    <t>CMR004002010</t>
  </si>
  <si>
    <t>CMR004003001</t>
  </si>
  <si>
    <t>CMR004003002</t>
  </si>
  <si>
    <t>CMR004003006</t>
  </si>
  <si>
    <t>CMR004003010</t>
  </si>
  <si>
    <t>CMR004003011</t>
  </si>
  <si>
    <t>CMR004003009</t>
  </si>
  <si>
    <t>CMR004004001</t>
  </si>
  <si>
    <t>CMR004004002</t>
  </si>
  <si>
    <t>CMR004004005</t>
  </si>
  <si>
    <t>CMR004004006</t>
  </si>
  <si>
    <t>CMR004004007</t>
  </si>
  <si>
    <t>CMR004005001</t>
  </si>
  <si>
    <t>CMR004005002</t>
  </si>
  <si>
    <t>CMR004005003</t>
  </si>
  <si>
    <t>CMR004006001</t>
  </si>
  <si>
    <t>CMR004006002</t>
  </si>
  <si>
    <t>CMR004006003</t>
  </si>
  <si>
    <t>CMR004006004</t>
  </si>
  <si>
    <t>CMR004006005</t>
  </si>
  <si>
    <t>CMR004006006</t>
  </si>
  <si>
    <t>CMR004006007</t>
  </si>
  <si>
    <t>CMR004001009</t>
  </si>
  <si>
    <t>DOUALARE</t>
  </si>
  <si>
    <t>KARAL TANNE</t>
  </si>
  <si>
    <t>PETTE CENTRE</t>
  </si>
  <si>
    <t>ASSIAMBA</t>
  </si>
  <si>
    <t>WANGARA</t>
  </si>
  <si>
    <t>AKMASSIRAK</t>
  </si>
  <si>
    <t>MOLODIA</t>
  </si>
  <si>
    <t>KODOGO</t>
  </si>
  <si>
    <t>SOKOTO</t>
  </si>
  <si>
    <t>WALLY</t>
  </si>
  <si>
    <t>LAYONA</t>
  </si>
  <si>
    <t>GUIRVIDIG</t>
  </si>
  <si>
    <t>MALIFOU</t>
  </si>
  <si>
    <t>MONGUI FOULDA</t>
  </si>
  <si>
    <t>POLGUE TCHAKALNA</t>
  </si>
  <si>
    <t>KARTOUA</t>
  </si>
  <si>
    <t>OURO DABAN</t>
  </si>
  <si>
    <t>DJAOUDE</t>
  </si>
  <si>
    <t>DOUTAROU</t>
  </si>
  <si>
    <t>CMR0040010233</t>
  </si>
  <si>
    <t>KATOUAL</t>
  </si>
  <si>
    <t>CMR0040010239</t>
  </si>
  <si>
    <t>KILISSAWA</t>
  </si>
  <si>
    <t>KOURWAMAY</t>
  </si>
  <si>
    <t>CMR0040010390</t>
  </si>
  <si>
    <t>MORGOI</t>
  </si>
  <si>
    <t>AFADE</t>
  </si>
  <si>
    <t>AMCHEDIRE</t>
  </si>
  <si>
    <t>AMCHILGA</t>
  </si>
  <si>
    <t>AMSABANG</t>
  </si>
  <si>
    <t>CMR0040020132</t>
  </si>
  <si>
    <t>ARDEB</t>
  </si>
  <si>
    <t>ARDEBE</t>
  </si>
  <si>
    <t>BIAMO</t>
  </si>
  <si>
    <t>BLANGAFE</t>
  </si>
  <si>
    <t>BODO</t>
  </si>
  <si>
    <t>CMR0040020227</t>
  </si>
  <si>
    <t>BOUSSAYA</t>
  </si>
  <si>
    <t>CHAFO</t>
  </si>
  <si>
    <t>CHAOUE</t>
  </si>
  <si>
    <t>DIGAM</t>
  </si>
  <si>
    <t>DOLE</t>
  </si>
  <si>
    <t>CMR0040020386</t>
  </si>
  <si>
    <t>FADJE</t>
  </si>
  <si>
    <t>CMR0040020427</t>
  </si>
  <si>
    <t>FIMA</t>
  </si>
  <si>
    <t>CMR0040020472</t>
  </si>
  <si>
    <t>GLAO</t>
  </si>
  <si>
    <t>CMR0040020473</t>
  </si>
  <si>
    <t>GLEDO</t>
  </si>
  <si>
    <t>GOULFEY</t>
  </si>
  <si>
    <t>GOULMA</t>
  </si>
  <si>
    <t>CMR0040020548</t>
  </si>
  <si>
    <t>HAIGAYO</t>
  </si>
  <si>
    <t>HERAZAYA</t>
  </si>
  <si>
    <t>CMR0040020559</t>
  </si>
  <si>
    <t>HEROUA</t>
  </si>
  <si>
    <t>IBOU</t>
  </si>
  <si>
    <t>CMR0040020575</t>
  </si>
  <si>
    <t>KABE</t>
  </si>
  <si>
    <t>CMR0040020593</t>
  </si>
  <si>
    <t>KALKOUSSAM</t>
  </si>
  <si>
    <t>CMR0040020600</t>
  </si>
  <si>
    <t>KAOUSSE</t>
  </si>
  <si>
    <t>KARENA</t>
  </si>
  <si>
    <t>CMR0040020627</t>
  </si>
  <si>
    <t>KESAWA</t>
  </si>
  <si>
    <t>CMR0040020652</t>
  </si>
  <si>
    <t>KOKIO</t>
  </si>
  <si>
    <t>CMR0040020655</t>
  </si>
  <si>
    <t>KOUBOUGUE</t>
  </si>
  <si>
    <t>CMR0040020661</t>
  </si>
  <si>
    <t>KOUNDJARA</t>
  </si>
  <si>
    <t>CMR0040020692</t>
  </si>
  <si>
    <t>LAHAI</t>
  </si>
  <si>
    <t>CMR0040020718</t>
  </si>
  <si>
    <t>MABRAKA</t>
  </si>
  <si>
    <t>MADA</t>
  </si>
  <si>
    <t>CMR0040020738</t>
  </si>
  <si>
    <t>MAFANDE</t>
  </si>
  <si>
    <t>MAFOULSO</t>
  </si>
  <si>
    <t>CMR0040020748</t>
  </si>
  <si>
    <t>CMR0040020750</t>
  </si>
  <si>
    <t>CMR0040020758</t>
  </si>
  <si>
    <t>MAHADIRI</t>
  </si>
  <si>
    <t>CMR0040020767</t>
  </si>
  <si>
    <t>MAINARI</t>
  </si>
  <si>
    <t>CMR0040020771</t>
  </si>
  <si>
    <t>MAKARY</t>
  </si>
  <si>
    <t>CMR0040020774</t>
  </si>
  <si>
    <t>MALA</t>
  </si>
  <si>
    <t>MALADI</t>
  </si>
  <si>
    <t>MALTAM</t>
  </si>
  <si>
    <t>CMR0040020809</t>
  </si>
  <si>
    <t>MARGAMA</t>
  </si>
  <si>
    <t>CMR0040020822</t>
  </si>
  <si>
    <t>MASKALAI</t>
  </si>
  <si>
    <t>MASSAKI</t>
  </si>
  <si>
    <t>CMR0040020848</t>
  </si>
  <si>
    <t>MBENG</t>
  </si>
  <si>
    <t>NAGA</t>
  </si>
  <si>
    <t>NGADA</t>
  </si>
  <si>
    <t>NGARDOUKOUM</t>
  </si>
  <si>
    <t>NGODENI</t>
  </si>
  <si>
    <t>CMR0040020981</t>
  </si>
  <si>
    <t>NGUETOYA</t>
  </si>
  <si>
    <t>NIGUE</t>
  </si>
  <si>
    <t>CMR0040020986</t>
  </si>
  <si>
    <t>CMR0040020987</t>
  </si>
  <si>
    <t>NIMIA</t>
  </si>
  <si>
    <t>SAGME</t>
  </si>
  <si>
    <t>SAHLE</t>
  </si>
  <si>
    <t>CMR0040021119</t>
  </si>
  <si>
    <t>SERO</t>
  </si>
  <si>
    <t>CMR0040021147</t>
  </si>
  <si>
    <t>TAGAWA</t>
  </si>
  <si>
    <t>CMR0040021150</t>
  </si>
  <si>
    <t>TAKOULOUWEBE</t>
  </si>
  <si>
    <t>CMR0040021154</t>
  </si>
  <si>
    <t>TANE</t>
  </si>
  <si>
    <t>TCHIKA</t>
  </si>
  <si>
    <t>CMR0040021174</t>
  </si>
  <si>
    <t>TILAM</t>
  </si>
  <si>
    <t>WAZA</t>
  </si>
  <si>
    <t>CMR0040021211</t>
  </si>
  <si>
    <t>ZALAT</t>
  </si>
  <si>
    <t>ZAMAN</t>
  </si>
  <si>
    <t>ZIGUAGUE</t>
  </si>
  <si>
    <t>CMR0040030006</t>
  </si>
  <si>
    <t>ARDAF</t>
  </si>
  <si>
    <t>CMR0040030059</t>
  </si>
  <si>
    <t>DANGABISSI</t>
  </si>
  <si>
    <t>DJOUGOUMTA</t>
  </si>
  <si>
    <t>GOUFKE</t>
  </si>
  <si>
    <t>GUIBI</t>
  </si>
  <si>
    <t>VELE</t>
  </si>
  <si>
    <t>CMR0040040032</t>
  </si>
  <si>
    <t>BITCHARE</t>
  </si>
  <si>
    <t>CMR0040040034</t>
  </si>
  <si>
    <t>BOBOYO</t>
  </si>
  <si>
    <t>KOFARE</t>
  </si>
  <si>
    <t>CMR0040040305</t>
  </si>
  <si>
    <t>MOUTOUROUA</t>
  </si>
  <si>
    <t>CMR0040040316</t>
  </si>
  <si>
    <t>NOUBOU</t>
  </si>
  <si>
    <t>CMR0040050018</t>
  </si>
  <si>
    <t>BAKA</t>
  </si>
  <si>
    <t>BALDAMA</t>
  </si>
  <si>
    <t>CMR0040050285</t>
  </si>
  <si>
    <t>OUDJILA</t>
  </si>
  <si>
    <t>OULDEME</t>
  </si>
  <si>
    <t>PALBARA</t>
  </si>
  <si>
    <t>CMR0040050323</t>
  </si>
  <si>
    <t>SERAWA</t>
  </si>
  <si>
    <t>TAZANG</t>
  </si>
  <si>
    <t>CMR0040050343</t>
  </si>
  <si>
    <t>TINDERME</t>
  </si>
  <si>
    <t>AMSA</t>
  </si>
  <si>
    <t>CMR0040060013</t>
  </si>
  <si>
    <t>BAO</t>
  </si>
  <si>
    <t>BOUKOULA</t>
  </si>
  <si>
    <t>GALDALA</t>
  </si>
  <si>
    <t>CMR0040060132</t>
  </si>
  <si>
    <t>GAMBOURA</t>
  </si>
  <si>
    <t>GAMDOUGOUM</t>
  </si>
  <si>
    <t>GAWAR</t>
  </si>
  <si>
    <t>GOURIA</t>
  </si>
  <si>
    <t>GOUSDA</t>
  </si>
  <si>
    <t>CMR0040060182</t>
  </si>
  <si>
    <t>GUILI</t>
  </si>
  <si>
    <t>KAFTAKA</t>
  </si>
  <si>
    <t>CMR0040060328</t>
  </si>
  <si>
    <t>KILA</t>
  </si>
  <si>
    <t>KILDA</t>
  </si>
  <si>
    <t>KOZA</t>
  </si>
  <si>
    <t>MABAS</t>
  </si>
  <si>
    <t>MAGOUMA</t>
  </si>
  <si>
    <t>CMR0040060413</t>
  </si>
  <si>
    <t>MANDOUSSA</t>
  </si>
  <si>
    <t>MATAMAYA</t>
  </si>
  <si>
    <t>MAVOUMAY</t>
  </si>
  <si>
    <t>MAZAM</t>
  </si>
  <si>
    <t>MOGODE</t>
  </si>
  <si>
    <t>MOKOLO</t>
  </si>
  <si>
    <t>MOSKOTA</t>
  </si>
  <si>
    <t>MOZOGO</t>
  </si>
  <si>
    <t>CMR0040060624</t>
  </si>
  <si>
    <t>OUDOUMDJARAY</t>
  </si>
  <si>
    <t>OULAD</t>
  </si>
  <si>
    <t>OUZAL</t>
  </si>
  <si>
    <t>ROUA</t>
  </si>
  <si>
    <t>CMR0040060713</t>
  </si>
  <si>
    <t>SIR</t>
  </si>
  <si>
    <t>TCHEVI</t>
  </si>
  <si>
    <t>ZAMAI</t>
  </si>
  <si>
    <t>ZOUVOUL</t>
  </si>
  <si>
    <t>adm3_code</t>
  </si>
  <si>
    <t>adm2</t>
  </si>
  <si>
    <t>adm2_code</t>
  </si>
  <si>
    <t>EGLISE</t>
  </si>
  <si>
    <t>vivres</t>
  </si>
  <si>
    <t>CODAS CARITAS</t>
  </si>
  <si>
    <t>ADES</t>
  </si>
  <si>
    <t>ELITES</t>
  </si>
  <si>
    <t>ARABIE SAOUDITE</t>
  </si>
  <si>
    <t>forage</t>
  </si>
  <si>
    <t>MINFOF</t>
  </si>
  <si>
    <t>sanitaire</t>
  </si>
  <si>
    <t>HCR</t>
  </si>
  <si>
    <t>ecole</t>
  </si>
  <si>
    <t>sensibilisation</t>
  </si>
  <si>
    <t>sante</t>
  </si>
  <si>
    <t>finances</t>
  </si>
  <si>
    <t>NGA</t>
  </si>
  <si>
    <t>TCD</t>
  </si>
  <si>
    <t>CAF00X</t>
  </si>
  <si>
    <t>CMR006003</t>
  </si>
  <si>
    <t>Admin1</t>
  </si>
  <si>
    <t>%</t>
  </si>
  <si>
    <t>cereales</t>
  </si>
  <si>
    <t>Extrême-Nord</t>
  </si>
  <si>
    <t>Soulede_Roua</t>
  </si>
  <si>
    <t>Admin1_Code</t>
  </si>
  <si>
    <t>evaluation_adm2_long</t>
  </si>
  <si>
    <t>evaluation_adm2_lat</t>
  </si>
  <si>
    <t>evaluation_adm3_long</t>
  </si>
  <si>
    <t>evaluation_adm3_lat</t>
  </si>
  <si>
    <t>14,6655724671291</t>
  </si>
  <si>
    <t>12,0078307949001</t>
  </si>
  <si>
    <t>14,6095404806017</t>
  </si>
  <si>
    <t>12,7358390289017</t>
  </si>
  <si>
    <t>Cameroon</t>
  </si>
  <si>
    <t>14,8175004835099</t>
  </si>
  <si>
    <t>12,4598867162462</t>
  </si>
  <si>
    <t>14,982</t>
  </si>
  <si>
    <t>12,07</t>
  </si>
  <si>
    <t>14,0498208648858</t>
  </si>
  <si>
    <t>11,2301368828764</t>
  </si>
  <si>
    <t>14,3096871946169</t>
  </si>
  <si>
    <t>11,0988943732303</t>
  </si>
  <si>
    <t>14,135</t>
  </si>
  <si>
    <t>10,8795943260193</t>
  </si>
  <si>
    <t>13,784815459887</t>
  </si>
  <si>
    <t>10,8245672347739</t>
  </si>
  <si>
    <t>13,888</t>
  </si>
  <si>
    <t>10,8833360788299</t>
  </si>
  <si>
    <t>13,8672738240395</t>
  </si>
  <si>
    <t>10,61</t>
  </si>
  <si>
    <t>13,82</t>
  </si>
  <si>
    <t>10,33</t>
  </si>
  <si>
    <t>13,577</t>
  </si>
  <si>
    <t>10,314</t>
  </si>
  <si>
    <t>14,383</t>
  </si>
  <si>
    <t>12,668</t>
  </si>
  <si>
    <t>Hil</t>
  </si>
  <si>
    <t>14,4438302405527</t>
  </si>
  <si>
    <t>12,944370751069</t>
  </si>
  <si>
    <t>15,0513637596863</t>
  </si>
  <si>
    <t>11,2009917117623</t>
  </si>
  <si>
    <t>15,1673049098147</t>
  </si>
  <si>
    <t>10,5022992912047</t>
  </si>
  <si>
    <t>15,47</t>
  </si>
  <si>
    <t>10,03</t>
  </si>
  <si>
    <t>15,0342328127693</t>
  </si>
  <si>
    <t>10,6594164062949</t>
  </si>
  <si>
    <t>14,9965692598795</t>
  </si>
  <si>
    <t>10,9114627592343</t>
  </si>
  <si>
    <t>15,1379772569768</t>
  </si>
  <si>
    <t>10,4758260817755</t>
  </si>
  <si>
    <t>15,21</t>
  </si>
  <si>
    <t>10,205</t>
  </si>
  <si>
    <t>15,31</t>
  </si>
  <si>
    <t>10,09</t>
  </si>
  <si>
    <t>14,2056792271808</t>
  </si>
  <si>
    <t>10,6478344923364</t>
  </si>
  <si>
    <t>14,3077917993069</t>
  </si>
  <si>
    <t>10,6267500966788</t>
  </si>
  <si>
    <t>14,3905124904441</t>
  </si>
  <si>
    <t>10,8798246555191</t>
  </si>
  <si>
    <t>14,549137854761</t>
  </si>
  <si>
    <t>11,0035065052121</t>
  </si>
  <si>
    <t>14,9045330320428</t>
  </si>
  <si>
    <t>11,8386314013971</t>
  </si>
  <si>
    <t>14,3496549590634</t>
  </si>
  <si>
    <t>10,2734070793451</t>
  </si>
  <si>
    <t>14,6881575102217</t>
  </si>
  <si>
    <t>10,0852744820413</t>
  </si>
  <si>
    <t>14,1666593134403</t>
  </si>
  <si>
    <t>10,2194649517536</t>
  </si>
  <si>
    <t>14,0217858361781</t>
  </si>
  <si>
    <t>11,1923807577906</t>
  </si>
  <si>
    <t>14,686</t>
  </si>
  <si>
    <t>11,373</t>
  </si>
  <si>
    <t>13,971</t>
  </si>
  <si>
    <t>10,773</t>
  </si>
  <si>
    <t>14,456</t>
  </si>
  <si>
    <t>10,396</t>
  </si>
  <si>
    <t>14,7135247124566</t>
  </si>
  <si>
    <t>10,782926803165</t>
  </si>
  <si>
    <t>14,1802203508071</t>
  </si>
  <si>
    <t>10,7670589258642</t>
  </si>
  <si>
    <t>14,2847188436956</t>
  </si>
  <si>
    <t>12,4454764511626</t>
  </si>
  <si>
    <t>14,5959484772777</t>
  </si>
  <si>
    <t>12,2797349012083</t>
  </si>
  <si>
    <t>14,0999262428284</t>
  </si>
  <si>
    <t>10,6044426027934</t>
  </si>
  <si>
    <t>13,9099211270296</t>
  </si>
  <si>
    <t>11,0553693529926</t>
  </si>
  <si>
    <t>13,6335516025623</t>
  </si>
  <si>
    <t>10,53</t>
  </si>
  <si>
    <t>Nigeria</t>
  </si>
  <si>
    <t>Borno</t>
  </si>
  <si>
    <t>Chad</t>
  </si>
  <si>
    <t>TCDXXX</t>
  </si>
  <si>
    <t>Bongor</t>
  </si>
  <si>
    <t>14,8099692163389</t>
  </si>
  <si>
    <t>10,3857956720778</t>
  </si>
  <si>
    <t>Centrafrican Republic</t>
  </si>
  <si>
    <t>CAFXXX</t>
  </si>
  <si>
    <t xml:space="preserve"> </t>
  </si>
  <si>
    <t>Littoral</t>
  </si>
  <si>
    <t>Nord</t>
  </si>
  <si>
    <t>CMR002</t>
  </si>
  <si>
    <t>Centre</t>
  </si>
  <si>
    <t>14,4078563622066</t>
  </si>
  <si>
    <t>10,1509966452917</t>
  </si>
  <si>
    <t>14,520727651665</t>
  </si>
  <si>
    <t>10,4769811572799</t>
  </si>
  <si>
    <t>adm3</t>
  </si>
  <si>
    <t>code_arrondissement</t>
  </si>
  <si>
    <t>Code_village</t>
  </si>
  <si>
    <t>Autre_village</t>
  </si>
  <si>
    <t>KAMOUNA</t>
  </si>
  <si>
    <t>MOURDASS</t>
  </si>
  <si>
    <t>KALORAM</t>
  </si>
  <si>
    <t>TOUBOUM ALLI</t>
  </si>
  <si>
    <t>TERBOU</t>
  </si>
  <si>
    <t>DOUCHE</t>
  </si>
  <si>
    <t>TOUBOUMKOURE</t>
  </si>
  <si>
    <t>NDJIBOUNILA</t>
  </si>
  <si>
    <t>HILE-TANDALGUI</t>
  </si>
  <si>
    <t>DOUGOUMSILIOI</t>
  </si>
  <si>
    <t>DOUGOUMSILIO</t>
  </si>
  <si>
    <t>CMR0040020385</t>
  </si>
  <si>
    <t>FADJA</t>
  </si>
  <si>
    <t>CMR0040020356</t>
  </si>
  <si>
    <t>GONONE</t>
  </si>
  <si>
    <t>WADAK</t>
  </si>
  <si>
    <t>CMR00400204997</t>
  </si>
  <si>
    <t>BAGALAF</t>
  </si>
  <si>
    <t>CMR0040010018</t>
  </si>
  <si>
    <t>BOGO</t>
  </si>
  <si>
    <t>CMR0040010046</t>
  </si>
  <si>
    <t>BOREY</t>
  </si>
  <si>
    <t>CMR0040010049</t>
  </si>
  <si>
    <t>BALDA</t>
  </si>
  <si>
    <t>CMR0040010026</t>
  </si>
  <si>
    <t>MADAKALAWANAT</t>
  </si>
  <si>
    <t>CMR0040010279</t>
  </si>
  <si>
    <t>BOURHA</t>
  </si>
  <si>
    <t>CMR0040060049</t>
  </si>
  <si>
    <t>Mayo-Louti</t>
  </si>
  <si>
    <t>Guider</t>
  </si>
  <si>
    <t>CMR006003002</t>
  </si>
  <si>
    <t>CMR0040060732</t>
  </si>
  <si>
    <t>HINA</t>
  </si>
  <si>
    <t>CMR0040060192</t>
  </si>
  <si>
    <t>BERING</t>
  </si>
  <si>
    <t>CMR0040060025</t>
  </si>
  <si>
    <t>DJOUMDJOUM</t>
  </si>
  <si>
    <t>BAMGUELMBORORO</t>
  </si>
  <si>
    <t>BASARA</t>
  </si>
  <si>
    <t>MOULAR</t>
  </si>
  <si>
    <t>MAYOKABA</t>
  </si>
  <si>
    <t>RHUMSI</t>
  </si>
  <si>
    <t>CMR0040060671</t>
  </si>
  <si>
    <t>ZIMI</t>
  </si>
  <si>
    <t>ROUMSIKI</t>
  </si>
  <si>
    <t>CMR0040060689</t>
  </si>
  <si>
    <t>VITE</t>
  </si>
  <si>
    <t>CMR0040060758</t>
  </si>
  <si>
    <t>MOKONG</t>
  </si>
  <si>
    <t>CMR0040060547</t>
  </si>
  <si>
    <t>DJIN DJIN</t>
  </si>
  <si>
    <t>LDOUBAM</t>
  </si>
  <si>
    <t>TOUFFOU</t>
  </si>
  <si>
    <t xml:space="preserve"> Borno</t>
  </si>
  <si>
    <t>GOROKO</t>
  </si>
  <si>
    <t>KONSAMBA</t>
  </si>
  <si>
    <t>NGUETCHEWE</t>
  </si>
  <si>
    <t>MAWA</t>
  </si>
  <si>
    <t>CMR0040060427</t>
  </si>
  <si>
    <t>DZAMADZAF</t>
  </si>
  <si>
    <t>CMR0040060016</t>
  </si>
  <si>
    <t>SOULEDE</t>
  </si>
  <si>
    <t>CMR0040060722</t>
  </si>
  <si>
    <t>CMR0040050307</t>
  </si>
  <si>
    <t>camp</t>
  </si>
  <si>
    <t>NGOUAMA</t>
  </si>
  <si>
    <t>CMR0040020967</t>
  </si>
  <si>
    <t>DJIMINI</t>
  </si>
  <si>
    <t>WOUREDINE</t>
  </si>
  <si>
    <t>ALAK</t>
  </si>
  <si>
    <t>CMR0040020064</t>
  </si>
  <si>
    <t>CMR0040021220</t>
  </si>
  <si>
    <t>WOULKIOKALE</t>
  </si>
  <si>
    <t>GOSANOUGARA</t>
  </si>
  <si>
    <t>CMR0040020495</t>
  </si>
  <si>
    <t>HIDJELI DJE</t>
  </si>
  <si>
    <t>CMR0040020409</t>
  </si>
  <si>
    <t>ANAMBARI</t>
  </si>
  <si>
    <t>NGOURNON</t>
  </si>
  <si>
    <t>DJEKDJEKAYA</t>
  </si>
  <si>
    <t>WATCHO</t>
  </si>
  <si>
    <t>NGUINEGUINE</t>
  </si>
  <si>
    <t>MANAWADJI</t>
  </si>
  <si>
    <t>CMR0040020791</t>
  </si>
  <si>
    <t>WALADE</t>
  </si>
  <si>
    <t>DOBONGO</t>
  </si>
  <si>
    <t>WAYAM</t>
  </si>
  <si>
    <t>CMR0040060779</t>
  </si>
  <si>
    <t>BIGUIDI</t>
  </si>
  <si>
    <t>CMR0040060030</t>
  </si>
  <si>
    <t>MAKANDAY</t>
  </si>
  <si>
    <t>CMR0040060402</t>
  </si>
  <si>
    <t>KECHKEME</t>
  </si>
  <si>
    <t>MAZI</t>
  </si>
  <si>
    <t>CMR00400604994</t>
  </si>
  <si>
    <t>LAMORDE</t>
  </si>
  <si>
    <t>CMR0040060367</t>
  </si>
  <si>
    <t>DJINCLIYA PLAINE</t>
  </si>
  <si>
    <t>DJINCLIYA MONTAGNE</t>
  </si>
  <si>
    <t>MODOGO</t>
  </si>
  <si>
    <t>HAMDALA</t>
  </si>
  <si>
    <t>GUID-BALA</t>
  </si>
  <si>
    <t>ZILENG</t>
  </si>
  <si>
    <t>CMR0040060802</t>
  </si>
  <si>
    <t>GUETALE</t>
  </si>
  <si>
    <t>CMR0040040164</t>
  </si>
  <si>
    <t>DOURWAD</t>
  </si>
  <si>
    <t>GUIDIMBEK</t>
  </si>
  <si>
    <t>PAMBAO</t>
  </si>
  <si>
    <t>CMR00400604995</t>
  </si>
  <si>
    <t>CMR0040060176</t>
  </si>
  <si>
    <t>HIRCHE</t>
  </si>
  <si>
    <t>GABAS</t>
  </si>
  <si>
    <t>CMR00400604991</t>
  </si>
  <si>
    <t>GABOUA</t>
  </si>
  <si>
    <t>CMR0040050082</t>
  </si>
  <si>
    <t>TENDEO</t>
  </si>
  <si>
    <t>MORGO</t>
  </si>
  <si>
    <t>DJENGUE</t>
  </si>
  <si>
    <t>MADAIK</t>
  </si>
  <si>
    <t>DOUGOUMACHI</t>
  </si>
  <si>
    <t>KINZAYAKOU</t>
  </si>
  <si>
    <t>BLANGOUA</t>
  </si>
  <si>
    <t>CMR0040020208</t>
  </si>
  <si>
    <t>C RECASEMENT</t>
  </si>
  <si>
    <t>KOFIA</t>
  </si>
  <si>
    <t>NGOUM</t>
  </si>
  <si>
    <t>KOUTOULA</t>
  </si>
  <si>
    <t>ABENGKORO</t>
  </si>
  <si>
    <t>CMR0040020014</t>
  </si>
  <si>
    <t>ANDROUMAN</t>
  </si>
  <si>
    <t>CMR0040020130</t>
  </si>
  <si>
    <t>BLARAM</t>
  </si>
  <si>
    <t>LOUGUEO</t>
  </si>
  <si>
    <t>GOZOLNANE</t>
  </si>
  <si>
    <t>KABE I</t>
  </si>
  <si>
    <t>KABE II</t>
  </si>
  <si>
    <t>SALEH</t>
  </si>
  <si>
    <t>MADA I</t>
  </si>
  <si>
    <t>MADA II</t>
  </si>
  <si>
    <t>TAGAWA I</t>
  </si>
  <si>
    <t>TAGAWA II</t>
  </si>
  <si>
    <t>TAGAWA III</t>
  </si>
  <si>
    <t>TAGAWA IV</t>
  </si>
  <si>
    <t>TCHAOUDE</t>
  </si>
  <si>
    <t>ZIGAGUE</t>
  </si>
  <si>
    <t>LOGONEBIRNI</t>
  </si>
  <si>
    <t>HILOUGNANG</t>
  </si>
  <si>
    <t>CMR00400204999</t>
  </si>
  <si>
    <t>CHAFO I</t>
  </si>
  <si>
    <t>KROUAN</t>
  </si>
  <si>
    <t>CMR00400200998</t>
  </si>
  <si>
    <t>MADAGASCAR</t>
  </si>
  <si>
    <t>CMR00400200996</t>
  </si>
  <si>
    <t>SAHABA</t>
  </si>
  <si>
    <t>CMR0040021089</t>
  </si>
  <si>
    <t>CMR0040020915</t>
  </si>
  <si>
    <t>NGOUMATI</t>
  </si>
  <si>
    <t>CMR0040020969</t>
  </si>
  <si>
    <t>NGASKAFOUROU</t>
  </si>
  <si>
    <t>CMR0040020962</t>
  </si>
  <si>
    <t>CMR0040020827</t>
  </si>
  <si>
    <t>MADEIK</t>
  </si>
  <si>
    <t>CMR0040020731</t>
  </si>
  <si>
    <t>ALAYA</t>
  </si>
  <si>
    <t>CMR0040020070</t>
  </si>
  <si>
    <t>MARAKO</t>
  </si>
  <si>
    <t>CMR0040020804</t>
  </si>
  <si>
    <t>CMR0040020084</t>
  </si>
  <si>
    <t>MAIMANI</t>
  </si>
  <si>
    <t>CMR00400200995</t>
  </si>
  <si>
    <t>GADOUBA</t>
  </si>
  <si>
    <t>CMR0040020446</t>
  </si>
  <si>
    <t>GUERGUERABA</t>
  </si>
  <si>
    <t>BALOU</t>
  </si>
  <si>
    <t>MOURGOYE</t>
  </si>
  <si>
    <t>ARAINABA</t>
  </si>
  <si>
    <t>PADMAGAI</t>
  </si>
  <si>
    <t>CMR0040021044</t>
  </si>
  <si>
    <t>MAADINA</t>
  </si>
  <si>
    <t>CMR0040020717</t>
  </si>
  <si>
    <t>GALA</t>
  </si>
  <si>
    <t>BOUARAM</t>
  </si>
  <si>
    <t>DABAK</t>
  </si>
  <si>
    <t>CMR0040020259</t>
  </si>
  <si>
    <t>DJIREIB I</t>
  </si>
  <si>
    <t>DJIREIB II</t>
  </si>
  <si>
    <t>DOLE ABOUNA</t>
  </si>
  <si>
    <t>GOREKENDI</t>
  </si>
  <si>
    <t>CMR0040020491</t>
  </si>
  <si>
    <t>GARI WAZAM</t>
  </si>
  <si>
    <t>KALAOUA</t>
  </si>
  <si>
    <t>CMR0040020586</t>
  </si>
  <si>
    <t>KATIKIME I</t>
  </si>
  <si>
    <t>KATIKIME II</t>
  </si>
  <si>
    <t>KARAGAMA</t>
  </si>
  <si>
    <t>CMR0040020603</t>
  </si>
  <si>
    <t>CMR0040020610</t>
  </si>
  <si>
    <t>MAGALADJAMENA</t>
  </si>
  <si>
    <t>MAGALAKABIR</t>
  </si>
  <si>
    <t>RIYAD</t>
  </si>
  <si>
    <t>TAMRAYA</t>
  </si>
  <si>
    <t>CMR0040021153</t>
  </si>
  <si>
    <t>FOTOKOL</t>
  </si>
  <si>
    <t>CMR0040020435</t>
  </si>
  <si>
    <t>MARGAMA II</t>
  </si>
  <si>
    <t>OUARAMARI</t>
  </si>
  <si>
    <t>CMR0040021007</t>
  </si>
  <si>
    <t>OHLISSENIE</t>
  </si>
  <si>
    <t>CMR0040021000</t>
  </si>
  <si>
    <t>WALLAM</t>
  </si>
  <si>
    <t>DJOUKA</t>
  </si>
  <si>
    <t>CMR0040020349</t>
  </si>
  <si>
    <t>BIDI</t>
  </si>
  <si>
    <t>CMR0040020196</t>
  </si>
  <si>
    <t>DJABRARI</t>
  </si>
  <si>
    <t>CMR0040020316</t>
  </si>
  <si>
    <t>WOROMARI</t>
  </si>
  <si>
    <t>CMR0040021209</t>
  </si>
  <si>
    <t>ROUROUNDE</t>
  </si>
  <si>
    <t>CMR0040021070</t>
  </si>
  <si>
    <t>CHELOBA</t>
  </si>
  <si>
    <t>CMR0040020253</t>
  </si>
  <si>
    <t>BLABAGO</t>
  </si>
  <si>
    <t>CMR0040020201</t>
  </si>
  <si>
    <t>BELGUEDE</t>
  </si>
  <si>
    <t>CMR0040020188</t>
  </si>
  <si>
    <t>CMR0040021084</t>
  </si>
  <si>
    <t>AMADOUKCHI</t>
  </si>
  <si>
    <t>CMR0040020089</t>
  </si>
  <si>
    <t>SOUERAM</t>
  </si>
  <si>
    <t>MEDINA</t>
  </si>
  <si>
    <t>CMR0040020854</t>
  </si>
  <si>
    <t>MAGAM I</t>
  </si>
  <si>
    <t>MAGAM II</t>
  </si>
  <si>
    <t>DEGA</t>
  </si>
  <si>
    <t>CMR0040020294</t>
  </si>
  <si>
    <t>MILEMARI</t>
  </si>
  <si>
    <t>MOULOUNANG</t>
  </si>
  <si>
    <t>MOULONANG</t>
  </si>
  <si>
    <t>ILLETE</t>
  </si>
  <si>
    <t>CMR0040020571</t>
  </si>
  <si>
    <t>MAYA</t>
  </si>
  <si>
    <t>CMR0040010320</t>
  </si>
  <si>
    <t>AMDANE</t>
  </si>
  <si>
    <t>CMR0040020101</t>
  </si>
  <si>
    <t>NOGRAM</t>
  </si>
  <si>
    <t>CMR0040020993</t>
  </si>
  <si>
    <t>KRENEKTOM</t>
  </si>
  <si>
    <t>HABOBA</t>
  </si>
  <si>
    <t>CMR0040020545</t>
  </si>
  <si>
    <t>BOUTALHADEM</t>
  </si>
  <si>
    <t>CMR0040020240</t>
  </si>
  <si>
    <t>ABENDOURWA</t>
  </si>
  <si>
    <t>CMR0040020011</t>
  </si>
  <si>
    <t>WALAGA</t>
  </si>
  <si>
    <t>MICH MICH</t>
  </si>
  <si>
    <t>FITCHOYA</t>
  </si>
  <si>
    <t>GLEY BAKARI</t>
  </si>
  <si>
    <t>ALARKE</t>
  </si>
  <si>
    <t>CMR0040020067</t>
  </si>
  <si>
    <t>HILE ALIFA I</t>
  </si>
  <si>
    <t>HILE ALIFA II</t>
  </si>
  <si>
    <t>ABASOUNI</t>
  </si>
  <si>
    <t>CMR0040020006</t>
  </si>
  <si>
    <t>ABASSOUNII</t>
  </si>
  <si>
    <t>ABASSOUNIII</t>
  </si>
  <si>
    <t>BARAGAM I</t>
  </si>
  <si>
    <t>BARAGAM II</t>
  </si>
  <si>
    <t>KAYEGUE</t>
  </si>
  <si>
    <t>CMR0040030221</t>
  </si>
  <si>
    <t>GOBOGAIOUA</t>
  </si>
  <si>
    <t>POLGE CENTRE</t>
  </si>
  <si>
    <t>NAYEGUISSIA</t>
  </si>
  <si>
    <t>CMR0040030308</t>
  </si>
  <si>
    <t>BAREKA</t>
  </si>
  <si>
    <t>GUIMRI 1</t>
  </si>
  <si>
    <t>GUIMRI2</t>
  </si>
  <si>
    <t>BIRGUI FOULDA</t>
  </si>
  <si>
    <t>GADAMBE</t>
  </si>
  <si>
    <t xml:space="preserve">KARAM </t>
  </si>
  <si>
    <t>POLGUE BEKSOU</t>
  </si>
  <si>
    <t>ECOLE</t>
  </si>
  <si>
    <t>MOUDMARA</t>
  </si>
  <si>
    <t>EP</t>
  </si>
  <si>
    <t>DOMAIDI</t>
  </si>
  <si>
    <t>CMR0040030099</t>
  </si>
  <si>
    <t>DOM PAYA</t>
  </si>
  <si>
    <t>DONGO</t>
  </si>
  <si>
    <t>CMR0040030104</t>
  </si>
  <si>
    <t>TCHANTOKA</t>
  </si>
  <si>
    <t>EGLISE ET ECOLE</t>
  </si>
  <si>
    <t>DJELME</t>
  </si>
  <si>
    <t>GUIROU</t>
  </si>
  <si>
    <t>CMR0040030187</t>
  </si>
  <si>
    <t>NOULDAYNA</t>
  </si>
  <si>
    <t>CMR0040030316</t>
  </si>
  <si>
    <t>BASTEBE</t>
  </si>
  <si>
    <t>CMR0040030022</t>
  </si>
  <si>
    <t>KALAC</t>
  </si>
  <si>
    <t>CMR0040030202</t>
  </si>
  <si>
    <t>GALAM</t>
  </si>
  <si>
    <t>CMR0040030131</t>
  </si>
  <si>
    <t>YAGOUA</t>
  </si>
  <si>
    <t>CMR0040030380</t>
  </si>
  <si>
    <t>DANA CFJA</t>
  </si>
  <si>
    <t>Mayo Kebbi Est</t>
  </si>
  <si>
    <t>KAIKAI</t>
  </si>
  <si>
    <t>DOUGUI</t>
  </si>
  <si>
    <t>CMR0040030112</t>
  </si>
  <si>
    <t>BEGUEPALAM</t>
  </si>
  <si>
    <t>CMR0040030025</t>
  </si>
  <si>
    <t>BARIAGODIO</t>
  </si>
  <si>
    <t>CMR0040030018</t>
  </si>
  <si>
    <t>LOUGOYE</t>
  </si>
  <si>
    <t>CMR0040030250</t>
  </si>
  <si>
    <t>BARKAYA</t>
  </si>
  <si>
    <t>CMR0040030021</t>
  </si>
  <si>
    <t>MOUTANG</t>
  </si>
  <si>
    <t>MOUKA</t>
  </si>
  <si>
    <t>BALAMATA</t>
  </si>
  <si>
    <t>CMR0040030012</t>
  </si>
  <si>
    <t>DJOGOMTA MARCHE</t>
  </si>
  <si>
    <t>MAIDA</t>
  </si>
  <si>
    <t>MAHAIBE</t>
  </si>
  <si>
    <t>DAHAOU</t>
  </si>
  <si>
    <t>HOLLOM</t>
  </si>
  <si>
    <t>BANGA</t>
  </si>
  <si>
    <t>DANZAY</t>
  </si>
  <si>
    <t>BARDOUKI</t>
  </si>
  <si>
    <t>CMR0040030017</t>
  </si>
  <si>
    <t>CMR0040030178</t>
  </si>
  <si>
    <t>POUS</t>
  </si>
  <si>
    <t>CMR0040030329</t>
  </si>
  <si>
    <t>GAYA</t>
  </si>
  <si>
    <t>SIMATO</t>
  </si>
  <si>
    <t>VARAY GOURON</t>
  </si>
  <si>
    <t>GUIRVIDIG BOKO</t>
  </si>
  <si>
    <t>MAOUROU</t>
  </si>
  <si>
    <t>GAGRAY</t>
  </si>
  <si>
    <t>FARAHOULOU</t>
  </si>
  <si>
    <t>MERI</t>
  </si>
  <si>
    <t>CMR0040010361</t>
  </si>
  <si>
    <t>CAMP</t>
  </si>
  <si>
    <t>MORA VILLE</t>
  </si>
  <si>
    <t>MORA MASSEF</t>
  </si>
  <si>
    <t>NDOULOU</t>
  </si>
  <si>
    <t>KOMGUI</t>
  </si>
  <si>
    <t>MEME-VILLE</t>
  </si>
  <si>
    <t>GODIGONG</t>
  </si>
  <si>
    <t>TALA-MADA</t>
  </si>
  <si>
    <t>MBZAGABAI</t>
  </si>
  <si>
    <t>MADOUVAYA</t>
  </si>
  <si>
    <t>CMR0040050179</t>
  </si>
  <si>
    <t>MADA-KOLKACH</t>
  </si>
  <si>
    <t>MAKELINGAI</t>
  </si>
  <si>
    <t>TEKOMBERE</t>
  </si>
  <si>
    <t>JEMELE</t>
  </si>
  <si>
    <t>CMR0040050132</t>
  </si>
  <si>
    <t>MOUKBA</t>
  </si>
  <si>
    <t>CMR0040050256</t>
  </si>
  <si>
    <t>TCHABATCHABA</t>
  </si>
  <si>
    <t>MOKGO</t>
  </si>
  <si>
    <t>KOUROM</t>
  </si>
  <si>
    <t>CMR0040050163</t>
  </si>
  <si>
    <t>LARAWO</t>
  </si>
  <si>
    <t>HARDE</t>
  </si>
  <si>
    <t>KAELE</t>
  </si>
  <si>
    <t>CMR0040040183</t>
  </si>
  <si>
    <t>MIDJIVIN</t>
  </si>
  <si>
    <t>CMR0040040277</t>
  </si>
  <si>
    <t>MOGOM</t>
  </si>
  <si>
    <t>OURO-DOLE</t>
  </si>
  <si>
    <t>SAMA</t>
  </si>
  <si>
    <t>GAVIANG</t>
  </si>
  <si>
    <t>CMR0040040128</t>
  </si>
  <si>
    <t>MOULVOUDAI</t>
  </si>
  <si>
    <t>CMR0040040299</t>
  </si>
  <si>
    <t>KATARE</t>
  </si>
  <si>
    <t>CMR0040040193</t>
  </si>
  <si>
    <t>TWONGO-BAJAVA</t>
  </si>
  <si>
    <t>MAWAKOTOKOM</t>
  </si>
  <si>
    <t>nguetchewe</t>
  </si>
  <si>
    <t>SALAVAD</t>
  </si>
  <si>
    <t>Kerawa</t>
  </si>
  <si>
    <t>DARGALA</t>
  </si>
  <si>
    <t>CMR0040010069</t>
  </si>
  <si>
    <t>OURO-ZANGUI</t>
  </si>
  <si>
    <t>KALAKI</t>
  </si>
  <si>
    <t>DJOHIRE</t>
  </si>
  <si>
    <t>WOULMOYE</t>
  </si>
  <si>
    <t>LOMORE</t>
  </si>
  <si>
    <t>CARREFOUR-CLIP</t>
  </si>
  <si>
    <t>BANTADJE</t>
  </si>
  <si>
    <t>GOUDOURWO</t>
  </si>
  <si>
    <t>ALAGARNO</t>
  </si>
  <si>
    <t>DJOUKA-BEMBAL</t>
  </si>
  <si>
    <t>EREO</t>
  </si>
  <si>
    <t>FADARE PETTE</t>
  </si>
  <si>
    <t>HOUSSARE FADARE</t>
  </si>
  <si>
    <t>HODEMA</t>
  </si>
  <si>
    <t>KARAL GUIE</t>
  </si>
  <si>
    <t>KONGHO 1</t>
  </si>
  <si>
    <t>KONGHO 2</t>
  </si>
  <si>
    <t>kourwama abdou</t>
  </si>
  <si>
    <t>KOURWAMA NDIDDA</t>
  </si>
  <si>
    <t>LOUBALOUBA</t>
  </si>
  <si>
    <t>MOURGOUM</t>
  </si>
  <si>
    <t>CMR0040010399</t>
  </si>
  <si>
    <t>NDJAMENA</t>
  </si>
  <si>
    <t>NIWADJI</t>
  </si>
  <si>
    <t>SALAME ALIOUM</t>
  </si>
  <si>
    <t>TCHALNGA</t>
  </si>
  <si>
    <t>TOUTKA</t>
  </si>
  <si>
    <t>25-59 years</t>
  </si>
  <si>
    <t>18-24 years</t>
  </si>
  <si>
    <t>14-17 years</t>
  </si>
  <si>
    <t>7-13 years</t>
  </si>
  <si>
    <t>4-6 years</t>
  </si>
  <si>
    <t>1-3 years</t>
  </si>
  <si>
    <t>0 (less than 1)</t>
  </si>
  <si>
    <t>Location</t>
  </si>
  <si>
    <t>Ménages</t>
  </si>
  <si>
    <t>_URI</t>
  </si>
  <si>
    <t>uuid:6499763c-53f1-4f4a-84e6-37d0b01ecd65</t>
  </si>
  <si>
    <t>uuid:180fb783-3f2b-4386-8e5b-f5b9b5bc96b6</t>
  </si>
  <si>
    <t>guider</t>
  </si>
  <si>
    <t>uuid:6928bd05-b518-4edb-9ba0-1b53673ef2a5</t>
  </si>
  <si>
    <t>uuid:de5856eb-1c6f-4548-a13a-43b84fc1c126</t>
  </si>
  <si>
    <t>uuid:27c26b05-7036-4997-97b5-5f9bd848d51f</t>
  </si>
  <si>
    <t>uuid:886524d1-c578-49ca-ae52-f51819e348bb</t>
  </si>
  <si>
    <t>uuid:986f237e-a981-419e-86f9-db8002bb3d31</t>
  </si>
  <si>
    <t>yagoua</t>
  </si>
  <si>
    <t>uuid:43a4c5a2-d937-47b3-9cbb-c49466dd8e94</t>
  </si>
  <si>
    <t>uuid:ea87e4f7-2f87-4c90-b3ec-4efed6eeecff</t>
  </si>
  <si>
    <t>uuid:18862d1a-e6a9-4fea-b373-706902ff77d9</t>
  </si>
  <si>
    <t>CAMP DE HONCOT</t>
  </si>
  <si>
    <t>uuid:5609585e-14fd-4014-82f9-629fe7c42db5</t>
  </si>
  <si>
    <t>HINALE</t>
  </si>
  <si>
    <t>uuid:756d3543-8d05-4978-b4a0-033505b152b6</t>
  </si>
  <si>
    <t>uuid:05edbd8c-aa35-4b0c-a791-28ebfae13946</t>
  </si>
  <si>
    <t>uuid:d26df39c-b590-4689-b871-5016b73fabfb</t>
  </si>
  <si>
    <t>uuid:abb3c966-ca82-49a3-907e-ba0cda156857</t>
  </si>
  <si>
    <t>arrondissement_destination</t>
  </si>
  <si>
    <t>MAIRIE</t>
  </si>
  <si>
    <t>GOUVERNEMENT</t>
  </si>
  <si>
    <t>CHEF DE L'ETAT</t>
  </si>
  <si>
    <t>autre</t>
  </si>
  <si>
    <t>moustiquaire</t>
  </si>
  <si>
    <t>non_vivres</t>
  </si>
  <si>
    <t>OIM</t>
  </si>
  <si>
    <t>materiel_agricole</t>
  </si>
  <si>
    <t>materiel</t>
  </si>
  <si>
    <t>GOUVERNEMMENT</t>
  </si>
  <si>
    <t>OIM ET SAHELI</t>
  </si>
  <si>
    <t>ELITES DU GRAND NORD</t>
  </si>
  <si>
    <t>argent</t>
  </si>
  <si>
    <t>PNDP</t>
  </si>
  <si>
    <t>fourniture_scolaire</t>
  </si>
  <si>
    <t>materiel_sanitaire</t>
  </si>
  <si>
    <t>medicaments_et_structures_sanitaires</t>
  </si>
  <si>
    <t>MSF ET IMC</t>
  </si>
  <si>
    <t>MOULIN</t>
  </si>
  <si>
    <t>MUSULMAN DE MAROUA</t>
  </si>
  <si>
    <t>COMMUNAUTE RELIGIEUSE</t>
  </si>
  <si>
    <t>INTERSOS</t>
  </si>
  <si>
    <t>CHEF DES DÉPLACÉS</t>
  </si>
  <si>
    <t>hygiene</t>
  </si>
  <si>
    <t>EFFORT DE GUERRE</t>
  </si>
  <si>
    <t>OIM ET RESPECT CAMEROON</t>
  </si>
  <si>
    <t>kit</t>
  </si>
  <si>
    <t>LAYMAYNA</t>
  </si>
  <si>
    <t>COMMUNE RURALE DE GUÉRÉ</t>
  </si>
  <si>
    <t>materiel_de_cuisine</t>
  </si>
  <si>
    <t>BAP</t>
  </si>
  <si>
    <t>Département</t>
  </si>
  <si>
    <t>Totaux</t>
  </si>
  <si>
    <t>CMR0040020060</t>
  </si>
  <si>
    <t>CHERIVE</t>
  </si>
  <si>
    <t>MAINAM KWOA</t>
  </si>
  <si>
    <t>MELERI</t>
  </si>
  <si>
    <t>NDABA</t>
  </si>
  <si>
    <t>NDJAMENA KERAWA</t>
  </si>
  <si>
    <t>TAMBALAM</t>
  </si>
  <si>
    <t>BAME</t>
  </si>
  <si>
    <t>CMR0040050022</t>
  </si>
  <si>
    <t>BLAKOLTCHI</t>
  </si>
  <si>
    <t>CMR0040050032</t>
  </si>
  <si>
    <t>GARDWATCHI</t>
  </si>
  <si>
    <t>CMR0040050092</t>
  </si>
  <si>
    <t>GOUDERI</t>
  </si>
  <si>
    <t>CMR0040050103</t>
  </si>
  <si>
    <t>GREA</t>
  </si>
  <si>
    <t>CMR0040050113</t>
  </si>
  <si>
    <t>KERAWA</t>
  </si>
  <si>
    <t>CMR0040050143</t>
  </si>
  <si>
    <t>KIDJIMATARI</t>
  </si>
  <si>
    <t>CMR0040020639</t>
  </si>
  <si>
    <t>KORDO</t>
  </si>
  <si>
    <t>CMR0040050154</t>
  </si>
  <si>
    <t>MANAWATCHI</t>
  </si>
  <si>
    <t>CMR0040020792</t>
  </si>
  <si>
    <t>POULATARI</t>
  </si>
  <si>
    <t>CMR0040050300</t>
  </si>
  <si>
    <t>TALAMADE</t>
  </si>
  <si>
    <t>CMR0040050338</t>
  </si>
  <si>
    <t>WAOULI</t>
  </si>
  <si>
    <t>CMR0040050360</t>
  </si>
  <si>
    <t>WARADE</t>
  </si>
  <si>
    <t>CMR0040050361</t>
  </si>
  <si>
    <t>YAZOULARI</t>
  </si>
  <si>
    <t>CMR0040050369</t>
  </si>
  <si>
    <t>Abris</t>
  </si>
  <si>
    <t>Column Labels</t>
  </si>
  <si>
    <t>Row Labels</t>
  </si>
  <si>
    <t>Grand Total</t>
  </si>
  <si>
    <t>Average Household Size</t>
  </si>
  <si>
    <t>100-Male</t>
  </si>
  <si>
    <t>Male 50%</t>
  </si>
  <si>
    <t>Gap</t>
  </si>
  <si>
    <t>Female 50%</t>
  </si>
  <si>
    <t>100_Female</t>
  </si>
  <si>
    <t>0 -1 yr</t>
  </si>
  <si>
    <t>1-3 yrs</t>
  </si>
  <si>
    <t>4-6 yrs</t>
  </si>
  <si>
    <t>7-13 yrs</t>
  </si>
  <si>
    <t>14-17 yrs</t>
  </si>
  <si>
    <t>18-24 yrs</t>
  </si>
  <si>
    <t>25-59 yrs</t>
  </si>
  <si>
    <t>Before 2014</t>
  </si>
  <si>
    <t>Total</t>
  </si>
  <si>
    <t>Period</t>
  </si>
  <si>
    <t>TOTAL</t>
  </si>
  <si>
    <t>Department</t>
  </si>
  <si>
    <t>Average Number of Childern per Household</t>
  </si>
  <si>
    <t>Percentage of Households with Children</t>
  </si>
  <si>
    <t>ADM2_NAME</t>
  </si>
  <si>
    <t>ADM3_Name</t>
  </si>
  <si>
    <t>Nom_Organisation</t>
  </si>
  <si>
    <t>Type d'organisation</t>
  </si>
  <si>
    <t>Type d'assistance</t>
  </si>
  <si>
    <t>Autre Assistance</t>
  </si>
  <si>
    <t>Unregistered Refugees</t>
  </si>
  <si>
    <t>Returnees</t>
  </si>
  <si>
    <t>Other_Department</t>
  </si>
  <si>
    <t>Same_Arrondissement</t>
  </si>
  <si>
    <t>Other_Arrondissement</t>
  </si>
  <si>
    <t>Other_Country</t>
  </si>
  <si>
    <t>Same_Country</t>
  </si>
  <si>
    <t>January_August_2015</t>
  </si>
  <si>
    <t>In_2014</t>
  </si>
  <si>
    <t>Before_2014</t>
  </si>
  <si>
    <t>December_2015_February_2016</t>
  </si>
  <si>
    <t>September_November_2015</t>
  </si>
  <si>
    <t>March_April_2016</t>
  </si>
  <si>
    <t>Floods_Natural_Disasters</t>
  </si>
  <si>
    <t>LAMIDO DE BOGO</t>
  </si>
  <si>
    <t>Name_village</t>
  </si>
  <si>
    <t>Shelter type</t>
  </si>
  <si>
    <t>Name_site</t>
  </si>
  <si>
    <t>Displacement_Reason</t>
  </si>
  <si>
    <t>Country_of_Origin</t>
  </si>
  <si>
    <t>Region_of-Origin</t>
  </si>
  <si>
    <t>Department_of_Origin</t>
  </si>
  <si>
    <t>Longitude_Village</t>
  </si>
  <si>
    <t>Latitude_Village</t>
  </si>
  <si>
    <t>HH</t>
  </si>
  <si>
    <t># Households by Type of Shelter (numbers)</t>
  </si>
  <si>
    <t># Households by Type of Shelter (%)</t>
  </si>
  <si>
    <t>Summary of Household by Type of Shelter (# and %)</t>
  </si>
  <si>
    <t>Government</t>
  </si>
  <si>
    <t>Religious</t>
  </si>
  <si>
    <t>NGO / Humanitarian</t>
  </si>
  <si>
    <t>Other</t>
  </si>
  <si>
    <t>ASSOCIATION DES FEMMES</t>
  </si>
  <si>
    <t>UEBC</t>
  </si>
  <si>
    <t>Conflict_ISWA</t>
  </si>
  <si>
    <t>Arrondissement_of_Origin</t>
  </si>
  <si>
    <t>Code_Department</t>
  </si>
  <si>
    <t>Code_Arrondissement</t>
  </si>
  <si>
    <t>Code_Country</t>
  </si>
  <si>
    <t>Code_region</t>
  </si>
  <si>
    <t>Code_Department2</t>
  </si>
  <si>
    <t>Code_Arrondissement3</t>
  </si>
  <si>
    <t>Host_Family</t>
  </si>
  <si>
    <t>Camp/Site</t>
  </si>
  <si>
    <t>Admin2</t>
  </si>
  <si>
    <t>Admin2_code</t>
  </si>
  <si>
    <t>Evaluation_admin2_long</t>
  </si>
  <si>
    <t>Evaluation_admin2_lat</t>
  </si>
  <si>
    <t>Admin3</t>
  </si>
  <si>
    <t>Admin3_code</t>
  </si>
  <si>
    <t>Evaluation_admin3_long</t>
  </si>
  <si>
    <t>Evaluation_admin3_lat</t>
  </si>
  <si>
    <t>Displacement Type</t>
  </si>
  <si>
    <t>Ind.</t>
  </si>
  <si>
    <t>Displacement Reason</t>
  </si>
  <si>
    <t>Other Reason</t>
  </si>
  <si>
    <t>Provenance</t>
  </si>
  <si>
    <t>Provenance_admin0</t>
  </si>
  <si>
    <t>Provenance_admin0_name</t>
  </si>
  <si>
    <t>Provenance_admin1</t>
  </si>
  <si>
    <t>Provenance_admin1_name</t>
  </si>
  <si>
    <t>Provenance_admin2</t>
  </si>
  <si>
    <t>Provenance_admin2_name</t>
  </si>
  <si>
    <t>Provenance_admin3</t>
  </si>
  <si>
    <t>Provenance_admin3_name</t>
  </si>
  <si>
    <t>Sum of Ind.</t>
  </si>
  <si>
    <t>Periods/Reasons</t>
  </si>
  <si>
    <t>Departments/Reasons</t>
  </si>
  <si>
    <t>Unregistered_Refugees</t>
  </si>
  <si>
    <t>HH_IDP</t>
  </si>
  <si>
    <t>Ind_IDP</t>
  </si>
  <si>
    <t>HH_Unregistered_Refugees</t>
  </si>
  <si>
    <t>Ind_Unregistered_Refugees</t>
  </si>
  <si>
    <t>HH_Returnees</t>
  </si>
  <si>
    <t>Ind_Returnees</t>
  </si>
  <si>
    <t>Population_Left</t>
  </si>
  <si>
    <t>HH_Population_Left</t>
  </si>
  <si>
    <t>Ind_Population_Left</t>
  </si>
  <si>
    <t>Spontaneous_Shelter</t>
  </si>
  <si>
    <t>HH_Spontaneous_Shelter</t>
  </si>
  <si>
    <t>Collective_Shelter</t>
  </si>
  <si>
    <t>HH_Collective Shelter</t>
  </si>
  <si>
    <t>Host Family_Shelter</t>
  </si>
  <si>
    <t>HH_Host Family_Shelter</t>
  </si>
  <si>
    <t>Open_Air_Shelter</t>
  </si>
  <si>
    <t>HH_Open_Air_Shelter</t>
  </si>
  <si>
    <t>Rented_Shelter</t>
  </si>
  <si>
    <t>HH_Rented_Shelter</t>
  </si>
  <si>
    <t>HH_Repatriated</t>
  </si>
  <si>
    <t>Ind_Repatriated</t>
  </si>
  <si>
    <t>Displacement</t>
  </si>
  <si>
    <t>Ind</t>
  </si>
  <si>
    <t>Reason</t>
  </si>
  <si>
    <t>Other_Reason</t>
  </si>
  <si>
    <t>Provenance_adm0</t>
  </si>
  <si>
    <t>Provenance_adm0_name</t>
  </si>
  <si>
    <t>Provenance_adm1</t>
  </si>
  <si>
    <t>Provenance_adm1_name</t>
  </si>
  <si>
    <t>Provenance_adm2</t>
  </si>
  <si>
    <t>Provenance_adm2_name</t>
  </si>
  <si>
    <t>Provenance_adm3</t>
  </si>
  <si>
    <t>Provenance_adm3_name</t>
  </si>
  <si>
    <t>Evaluation_adm2_code</t>
  </si>
  <si>
    <t>Evaluation_adm2_name</t>
  </si>
  <si>
    <t>Evaluation_adm2_long</t>
  </si>
  <si>
    <t>Evaluation_adm2_lat</t>
  </si>
  <si>
    <t>Evaluation_adm3_code</t>
  </si>
  <si>
    <t>Evaluation_adm3_name</t>
  </si>
  <si>
    <t>Evaluation_adm3_long</t>
  </si>
  <si>
    <t>Evaluation_adm3_lat</t>
  </si>
  <si>
    <t>Period_Departure</t>
  </si>
  <si>
    <t>Destination</t>
  </si>
  <si>
    <t>Country_destination</t>
  </si>
  <si>
    <t>Code_Region</t>
  </si>
  <si>
    <t>Region_Destination</t>
  </si>
  <si>
    <t>Code_department</t>
  </si>
  <si>
    <t>department_destination</t>
  </si>
  <si>
    <t>Precise_Location</t>
  </si>
  <si>
    <t>Yes</t>
  </si>
  <si>
    <t>No</t>
  </si>
  <si>
    <t xml:space="preserve">Conflict_Ethnic </t>
  </si>
  <si>
    <t>Armed Conflict</t>
  </si>
  <si>
    <t>Rental</t>
  </si>
  <si>
    <t>Collective Shelter</t>
  </si>
  <si>
    <t>Open_Air</t>
  </si>
  <si>
    <t>Host Family</t>
  </si>
  <si>
    <t>Spontaneous</t>
  </si>
  <si>
    <t>Departments</t>
  </si>
  <si>
    <t>Open Air</t>
  </si>
  <si>
    <t>Displacement by Department (IDPs, unregistered refugees, and returnees)</t>
  </si>
  <si>
    <t>Periods of Displacement</t>
  </si>
  <si>
    <t>Displacement by year (Numbers and Percentages)</t>
  </si>
  <si>
    <t>Periods / Displaced population</t>
  </si>
  <si>
    <t>#</t>
  </si>
  <si>
    <t>Returns by Department and Periods</t>
  </si>
  <si>
    <t># IDP</t>
  </si>
  <si>
    <t># Unregistered_Refugees</t>
  </si>
  <si>
    <t># Returnees</t>
  </si>
  <si>
    <t>Households</t>
  </si>
  <si>
    <t>Individuals</t>
  </si>
  <si>
    <t>Detailed Data on Departure Periods</t>
  </si>
  <si>
    <t>Other_Region</t>
  </si>
  <si>
    <t>Sum of Ind</t>
  </si>
  <si>
    <t>Returns by Provenance</t>
  </si>
  <si>
    <t>Displacement by Arrondissement (Individuals)</t>
  </si>
  <si>
    <t>Displacement evolution between DTM rounds</t>
  </si>
  <si>
    <t>Round 1 (Nov. 2015)</t>
  </si>
  <si>
    <t>Round 2 (Feb. 2016)</t>
  </si>
  <si>
    <t>Round 3 (April 2016)</t>
  </si>
  <si>
    <t>Round 2 (Feb 2016)</t>
  </si>
  <si>
    <t>Column1</t>
  </si>
  <si>
    <t>Evolution R2/R3</t>
  </si>
  <si>
    <t>Round 1 (Nov 2015)</t>
  </si>
  <si>
    <t>Evolution R1/R3</t>
  </si>
  <si>
    <t>(All)</t>
  </si>
  <si>
    <t>Grand Total (#)</t>
  </si>
  <si>
    <t>Grand Total (%)</t>
  </si>
  <si>
    <t>Collective Housing</t>
  </si>
  <si>
    <t>Host Families</t>
  </si>
  <si>
    <t>TCD002</t>
  </si>
  <si>
    <t>Extreme-Nord</t>
  </si>
  <si>
    <t>other_country</t>
  </si>
  <si>
    <t>ngala</t>
  </si>
  <si>
    <t>bongor</t>
  </si>
  <si>
    <t>same_country</t>
  </si>
  <si>
    <t>In 2014</t>
  </si>
  <si>
    <t>Jan-Aug 15</t>
  </si>
  <si>
    <t>Sept-Nov 15</t>
  </si>
  <si>
    <t>Dec 15-Feb 16</t>
  </si>
  <si>
    <t>Mar-Apr 16</t>
  </si>
  <si>
    <t>Reason of Displacement by period (%)</t>
  </si>
  <si>
    <t>Reason of Displacement by Department (%)</t>
  </si>
  <si>
    <t>Reason of Displacement by Department (#)</t>
  </si>
  <si>
    <t>Reason of Displacement by period (#)</t>
  </si>
  <si>
    <t>Reason of Displacement by arrondissement (#)</t>
  </si>
  <si>
    <t>Reason of Displacement by period and category of displacement (#)</t>
  </si>
  <si>
    <t>Department and period of returns of former IDPs (returnees)</t>
  </si>
  <si>
    <t>Country of provenance (summary)</t>
  </si>
  <si>
    <t>Central African Republic</t>
  </si>
  <si>
    <t>Country of provenance</t>
  </si>
  <si>
    <t>Total (#)</t>
  </si>
  <si>
    <t>Total (%)</t>
  </si>
  <si>
    <t>Country of provenance by period of return</t>
  </si>
  <si>
    <t>Country of provenance by Department</t>
  </si>
  <si>
    <t>Reasons of Displacement by category of displacement</t>
  </si>
  <si>
    <t>Villages</t>
  </si>
  <si>
    <t>Villages hosting displaced populations</t>
  </si>
  <si>
    <t>Evolution of country of origin of unregistered refugees</t>
  </si>
  <si>
    <t>Spontaneous Sites</t>
  </si>
  <si>
    <t>Collective Shelters</t>
  </si>
  <si>
    <t>Open-Air Spaces</t>
  </si>
  <si>
    <t>Rented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</si>
</sst>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Helvetica Neue Light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17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9" fontId="13" fillId="0" borderId="0" applyFont="0" applyFill="0" applyBorder="0" applyAlignment="0" applyProtection="0"/>
    <xf numFmtId="0" fontId="3" fillId="0" borderId="0"/>
  </cellStyleXfs>
  <cellXfs count="20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7" fillId="2" borderId="1" xfId="0" applyFont="1" applyFill="1" applyBorder="1"/>
    <xf numFmtId="0" fontId="0" fillId="0" borderId="0" xfId="0" applyBorder="1"/>
    <xf numFmtId="0" fontId="7" fillId="2" borderId="2" xfId="0" applyFont="1" applyFill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0" fontId="9" fillId="3" borderId="5" xfId="171" applyFill="1" applyBorder="1"/>
    <xf numFmtId="9" fontId="9" fillId="0" borderId="0" xfId="171" applyNumberFormat="1"/>
    <xf numFmtId="17" fontId="9" fillId="4" borderId="6" xfId="171" applyNumberFormat="1" applyFill="1" applyBorder="1" applyAlignment="1"/>
    <xf numFmtId="1" fontId="9" fillId="0" borderId="0" xfId="171" applyNumberFormat="1"/>
    <xf numFmtId="16" fontId="9" fillId="4" borderId="6" xfId="171" applyNumberFormat="1" applyFill="1" applyBorder="1" applyAlignment="1"/>
    <xf numFmtId="0" fontId="9" fillId="4" borderId="6" xfId="171" applyFill="1" applyBorder="1" applyAlignment="1"/>
    <xf numFmtId="0" fontId="9" fillId="3" borderId="7" xfId="171" applyFill="1" applyBorder="1"/>
    <xf numFmtId="0" fontId="0" fillId="0" borderId="17" xfId="0" applyBorder="1"/>
    <xf numFmtId="9" fontId="0" fillId="0" borderId="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16" xfId="0" pivotButton="1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22" xfId="1" applyFont="1" applyFill="1" applyBorder="1" applyAlignment="1">
      <alignment wrapText="1"/>
    </xf>
    <xf numFmtId="0" fontId="0" fillId="0" borderId="14" xfId="0" applyBorder="1"/>
    <xf numFmtId="0" fontId="8" fillId="0" borderId="23" xfId="1" applyFont="1" applyFill="1" applyBorder="1" applyAlignment="1">
      <alignment wrapText="1"/>
    </xf>
    <xf numFmtId="0" fontId="0" fillId="0" borderId="8" xfId="0" applyBorder="1"/>
    <xf numFmtId="3" fontId="0" fillId="0" borderId="8" xfId="0" applyNumberFormat="1" applyBorder="1"/>
    <xf numFmtId="0" fontId="0" fillId="0" borderId="15" xfId="0" applyBorder="1"/>
    <xf numFmtId="0" fontId="0" fillId="0" borderId="10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12" fillId="0" borderId="0" xfId="0" applyFont="1" applyBorder="1"/>
    <xf numFmtId="0" fontId="10" fillId="0" borderId="3" xfId="171" applyFont="1" applyBorder="1"/>
    <xf numFmtId="9" fontId="10" fillId="0" borderId="3" xfId="171" applyNumberFormat="1" applyFont="1" applyBorder="1"/>
    <xf numFmtId="9" fontId="7" fillId="2" borderId="2" xfId="0" applyNumberFormat="1" applyFont="1" applyFill="1" applyBorder="1"/>
    <xf numFmtId="0" fontId="8" fillId="0" borderId="27" xfId="1" applyFont="1" applyFill="1" applyBorder="1" applyAlignment="1">
      <alignment wrapText="1"/>
    </xf>
    <xf numFmtId="9" fontId="7" fillId="2" borderId="3" xfId="0" applyNumberFormat="1" applyFont="1" applyFill="1" applyBorder="1" applyAlignment="1">
      <alignment horizontal="left"/>
    </xf>
    <xf numFmtId="9" fontId="0" fillId="0" borderId="3" xfId="0" applyNumberFormat="1" applyFill="1" applyBorder="1"/>
    <xf numFmtId="9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9" fillId="3" borderId="5" xfId="171" applyFont="1" applyFill="1" applyBorder="1"/>
    <xf numFmtId="0" fontId="7" fillId="0" borderId="0" xfId="0" applyFont="1" applyFill="1"/>
    <xf numFmtId="3" fontId="7" fillId="0" borderId="0" xfId="0" applyNumberFormat="1" applyFont="1" applyFill="1"/>
    <xf numFmtId="0" fontId="0" fillId="0" borderId="3" xfId="0" applyFill="1" applyBorder="1"/>
    <xf numFmtId="2" fontId="0" fillId="0" borderId="3" xfId="0" applyNumberFormat="1" applyFill="1" applyBorder="1"/>
    <xf numFmtId="9" fontId="0" fillId="0" borderId="3" xfId="172" applyFont="1" applyFill="1" applyBorder="1"/>
    <xf numFmtId="0" fontId="2" fillId="6" borderId="3" xfId="173" applyFont="1" applyFill="1" applyBorder="1" applyAlignment="1">
      <alignment horizontal="center"/>
    </xf>
    <xf numFmtId="1" fontId="10" fillId="0" borderId="0" xfId="171" applyNumberFormat="1" applyFont="1" applyFill="1" applyBorder="1"/>
    <xf numFmtId="1" fontId="9" fillId="0" borderId="0" xfId="0" applyNumberFormat="1" applyFont="1" applyBorder="1"/>
    <xf numFmtId="9" fontId="10" fillId="0" borderId="0" xfId="171" applyNumberFormat="1" applyFont="1" applyFill="1" applyBorder="1"/>
    <xf numFmtId="9" fontId="9" fillId="0" borderId="0" xfId="0" applyNumberFormat="1" applyFont="1" applyBorder="1"/>
    <xf numFmtId="0" fontId="7" fillId="7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0" borderId="0" xfId="171" applyFill="1" applyBorder="1"/>
    <xf numFmtId="3" fontId="10" fillId="3" borderId="7" xfId="171" applyNumberFormat="1" applyFont="1" applyFill="1" applyBorder="1"/>
    <xf numFmtId="3" fontId="10" fillId="3" borderId="28" xfId="171" applyNumberFormat="1" applyFont="1" applyFill="1" applyBorder="1"/>
    <xf numFmtId="3" fontId="9" fillId="0" borderId="0" xfId="0" applyNumberFormat="1" applyFont="1" applyBorder="1"/>
    <xf numFmtId="9" fontId="10" fillId="3" borderId="7" xfId="171" applyNumberFormat="1" applyFont="1" applyFill="1" applyBorder="1"/>
    <xf numFmtId="9" fontId="10" fillId="3" borderId="28" xfId="171" applyNumberFormat="1" applyFont="1" applyFill="1" applyBorder="1"/>
    <xf numFmtId="0" fontId="0" fillId="0" borderId="0" xfId="0" applyFill="1"/>
    <xf numFmtId="0" fontId="7" fillId="7" borderId="4" xfId="0" applyFont="1" applyFill="1" applyBorder="1"/>
    <xf numFmtId="0" fontId="7" fillId="7" borderId="4" xfId="0" applyFont="1" applyFill="1" applyBorder="1" applyAlignment="1">
      <alignment horizontal="left"/>
    </xf>
    <xf numFmtId="0" fontId="15" fillId="0" borderId="0" xfId="0" applyFont="1"/>
    <xf numFmtId="3" fontId="16" fillId="0" borderId="0" xfId="0" applyNumberFormat="1" applyFont="1" applyAlignment="1">
      <alignment horizontal="left" vertical="center" indent="2" readingOrder="1"/>
    </xf>
    <xf numFmtId="3" fontId="15" fillId="0" borderId="0" xfId="0" applyNumberFormat="1" applyFont="1"/>
    <xf numFmtId="3" fontId="17" fillId="0" borderId="0" xfId="0" applyNumberFormat="1" applyFont="1" applyAlignment="1">
      <alignment horizontal="left" vertical="center" indent="2" readingOrder="1"/>
    </xf>
    <xf numFmtId="3" fontId="7" fillId="2" borderId="3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9" fontId="7" fillId="0" borderId="2" xfId="0" applyNumberFormat="1" applyFont="1" applyFill="1" applyBorder="1"/>
    <xf numFmtId="0" fontId="7" fillId="0" borderId="0" xfId="0" applyFont="1"/>
    <xf numFmtId="3" fontId="0" fillId="0" borderId="3" xfId="0" applyNumberFormat="1" applyFont="1" applyFill="1" applyBorder="1"/>
    <xf numFmtId="3" fontId="7" fillId="2" borderId="2" xfId="0" applyNumberFormat="1" applyFont="1" applyFill="1" applyBorder="1"/>
    <xf numFmtId="0" fontId="14" fillId="0" borderId="0" xfId="0" applyFont="1" applyBorder="1"/>
    <xf numFmtId="0" fontId="8" fillId="6" borderId="3" xfId="1" applyFont="1" applyFill="1" applyBorder="1" applyAlignment="1">
      <alignment wrapText="1"/>
    </xf>
    <xf numFmtId="0" fontId="0" fillId="6" borderId="3" xfId="0" applyFill="1" applyBorder="1"/>
    <xf numFmtId="3" fontId="0" fillId="6" borderId="3" xfId="0" applyNumberFormat="1" applyFill="1" applyBorder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Fill="1" applyBorder="1" applyAlignment="1">
      <alignment horizontal="left"/>
    </xf>
    <xf numFmtId="10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2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right"/>
    </xf>
    <xf numFmtId="9" fontId="7" fillId="0" borderId="36" xfId="0" applyNumberFormat="1" applyFont="1" applyFill="1" applyBorder="1" applyAlignment="1">
      <alignment horizontal="right"/>
    </xf>
    <xf numFmtId="0" fontId="0" fillId="0" borderId="36" xfId="0" applyFill="1" applyBorder="1"/>
    <xf numFmtId="3" fontId="7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pivotButton="1" applyBorder="1"/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3" fontId="0" fillId="0" borderId="34" xfId="0" applyNumberFormat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7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19" fillId="0" borderId="0" xfId="0" applyFont="1" applyBorder="1" applyAlignment="1"/>
    <xf numFmtId="0" fontId="0" fillId="0" borderId="33" xfId="0" applyBorder="1" applyAlignment="1">
      <alignment horizontal="left" indent="1"/>
    </xf>
    <xf numFmtId="3" fontId="0" fillId="0" borderId="34" xfId="0" applyNumberFormat="1" applyFill="1" applyBorder="1"/>
    <xf numFmtId="0" fontId="7" fillId="0" borderId="34" xfId="0" applyFont="1" applyFill="1" applyBorder="1" applyAlignment="1"/>
    <xf numFmtId="0" fontId="0" fillId="0" borderId="34" xfId="0" applyFill="1" applyBorder="1"/>
    <xf numFmtId="0" fontId="0" fillId="0" borderId="30" xfId="0" pivotButton="1" applyBorder="1"/>
    <xf numFmtId="0" fontId="0" fillId="0" borderId="31" xfId="0" pivotButton="1" applyBorder="1"/>
    <xf numFmtId="0" fontId="0" fillId="0" borderId="31" xfId="0" applyBorder="1"/>
    <xf numFmtId="0" fontId="0" fillId="0" borderId="32" xfId="0" applyBorder="1"/>
    <xf numFmtId="0" fontId="7" fillId="0" borderId="33" xfId="0" pivotButton="1" applyFont="1" applyBorder="1"/>
    <xf numFmtId="0" fontId="7" fillId="0" borderId="34" xfId="0" applyFont="1" applyBorder="1"/>
    <xf numFmtId="0" fontId="18" fillId="9" borderId="35" xfId="0" applyFont="1" applyFill="1" applyBorder="1" applyAlignment="1">
      <alignment horizontal="left"/>
    </xf>
    <xf numFmtId="3" fontId="18" fillId="9" borderId="36" xfId="0" applyNumberFormat="1" applyFont="1" applyFill="1" applyBorder="1"/>
    <xf numFmtId="3" fontId="18" fillId="9" borderId="37" xfId="0" applyNumberFormat="1" applyFont="1" applyFill="1" applyBorder="1"/>
    <xf numFmtId="0" fontId="7" fillId="9" borderId="33" xfId="0" applyFont="1" applyFill="1" applyBorder="1" applyAlignment="1">
      <alignment horizontal="left"/>
    </xf>
    <xf numFmtId="3" fontId="7" fillId="9" borderId="0" xfId="0" applyNumberFormat="1" applyFont="1" applyFill="1" applyBorder="1"/>
    <xf numFmtId="3" fontId="7" fillId="9" borderId="34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21" fillId="2" borderId="0" xfId="0" applyNumberFormat="1" applyFont="1" applyFill="1" applyBorder="1"/>
    <xf numFmtId="3" fontId="21" fillId="0" borderId="0" xfId="0" applyNumberFormat="1" applyFont="1" applyBorder="1"/>
    <xf numFmtId="9" fontId="7" fillId="0" borderId="0" xfId="0" applyNumberFormat="1" applyFont="1" applyFill="1" applyBorder="1"/>
    <xf numFmtId="0" fontId="2" fillId="0" borderId="0" xfId="1" applyFont="1" applyFill="1" applyBorder="1" applyAlignment="1">
      <alignment wrapText="1"/>
    </xf>
    <xf numFmtId="0" fontId="0" fillId="0" borderId="0" xfId="0" applyFont="1" applyBorder="1"/>
    <xf numFmtId="0" fontId="0" fillId="0" borderId="33" xfId="0" pivotButton="1" applyBorder="1"/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3" fontId="0" fillId="0" borderId="36" xfId="0" applyNumberFormat="1" applyBorder="1"/>
    <xf numFmtId="3" fontId="0" fillId="0" borderId="37" xfId="0" applyNumberFormat="1" applyBorder="1"/>
    <xf numFmtId="3" fontId="0" fillId="0" borderId="0" xfId="0" applyNumberFormat="1" applyFont="1" applyFill="1" applyBorder="1" applyAlignment="1">
      <alignment horizontal="right"/>
    </xf>
    <xf numFmtId="0" fontId="0" fillId="0" borderId="30" xfId="0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9" fontId="7" fillId="2" borderId="0" xfId="0" applyNumberFormat="1" applyFont="1" applyFill="1" applyBorder="1"/>
    <xf numFmtId="0" fontId="22" fillId="0" borderId="0" xfId="0" applyFont="1" applyBorder="1"/>
    <xf numFmtId="3" fontId="7" fillId="0" borderId="0" xfId="0" applyNumberFormat="1" applyFont="1"/>
    <xf numFmtId="0" fontId="19" fillId="0" borderId="33" xfId="0" applyFont="1" applyFill="1" applyBorder="1" applyAlignment="1"/>
    <xf numFmtId="0" fontId="19" fillId="0" borderId="0" xfId="0" applyFont="1" applyFill="1" applyBorder="1" applyAlignment="1"/>
    <xf numFmtId="0" fontId="7" fillId="2" borderId="42" xfId="0" applyFont="1" applyFill="1" applyBorder="1"/>
    <xf numFmtId="0" fontId="7" fillId="2" borderId="44" xfId="0" applyFont="1" applyFill="1" applyBorder="1"/>
    <xf numFmtId="3" fontId="0" fillId="0" borderId="45" xfId="0" applyNumberFormat="1" applyBorder="1"/>
    <xf numFmtId="0" fontId="7" fillId="2" borderId="46" xfId="0" applyFont="1" applyFill="1" applyBorder="1" applyAlignment="1">
      <alignment horizontal="left"/>
    </xf>
    <xf numFmtId="3" fontId="0" fillId="0" borderId="43" xfId="0" applyNumberFormat="1" applyBorder="1"/>
    <xf numFmtId="3" fontId="7" fillId="2" borderId="42" xfId="0" applyNumberFormat="1" applyFont="1" applyFill="1" applyBorder="1"/>
    <xf numFmtId="9" fontId="0" fillId="0" borderId="43" xfId="0" applyNumberFormat="1" applyBorder="1"/>
    <xf numFmtId="9" fontId="0" fillId="0" borderId="45" xfId="0" applyNumberFormat="1" applyBorder="1"/>
    <xf numFmtId="9" fontId="7" fillId="2" borderId="42" xfId="0" applyNumberFormat="1" applyFont="1" applyFill="1" applyBorder="1"/>
    <xf numFmtId="0" fontId="0" fillId="0" borderId="35" xfId="0" pivotButton="1" applyBorder="1"/>
    <xf numFmtId="0" fontId="7" fillId="2" borderId="47" xfId="0" applyFont="1" applyFill="1" applyBorder="1" applyAlignment="1">
      <alignment horizontal="left"/>
    </xf>
    <xf numFmtId="3" fontId="0" fillId="0" borderId="31" xfId="0" applyNumberFormat="1" applyBorder="1"/>
    <xf numFmtId="9" fontId="7" fillId="2" borderId="48" xfId="0" applyNumberFormat="1" applyFont="1" applyFill="1" applyBorder="1"/>
    <xf numFmtId="9" fontId="7" fillId="2" borderId="49" xfId="0" applyNumberFormat="1" applyFont="1" applyFill="1" applyBorder="1"/>
    <xf numFmtId="0" fontId="12" fillId="0" borderId="31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10" fillId="5" borderId="6" xfId="171" applyFont="1" applyFill="1" applyBorder="1" applyAlignment="1">
      <alignment horizontal="center"/>
    </xf>
    <xf numFmtId="0" fontId="10" fillId="5" borderId="26" xfId="17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16" fontId="7" fillId="7" borderId="12" xfId="0" applyNumberFormat="1" applyFont="1" applyFill="1" applyBorder="1" applyAlignment="1">
      <alignment horizontal="center"/>
    </xf>
    <xf numFmtId="16" fontId="7" fillId="7" borderId="13" xfId="0" applyNumberFormat="1" applyFont="1" applyFill="1" applyBorder="1" applyAlignment="1">
      <alignment horizontal="center"/>
    </xf>
    <xf numFmtId="17" fontId="7" fillId="7" borderId="12" xfId="0" applyNumberFormat="1" applyFont="1" applyFill="1" applyBorder="1" applyAlignment="1">
      <alignment horizontal="center"/>
    </xf>
    <xf numFmtId="17" fontId="7" fillId="7" borderId="11" xfId="0" applyNumberFormat="1" applyFont="1" applyFill="1" applyBorder="1" applyAlignment="1">
      <alignment horizontal="center"/>
    </xf>
    <xf numFmtId="0" fontId="10" fillId="5" borderId="24" xfId="171" applyFont="1" applyFill="1" applyBorder="1" applyAlignment="1">
      <alignment horizontal="center"/>
    </xf>
    <xf numFmtId="0" fontId="10" fillId="5" borderId="25" xfId="171" applyFont="1" applyFill="1" applyBorder="1" applyAlignment="1">
      <alignment horizontal="center"/>
    </xf>
    <xf numFmtId="17" fontId="7" fillId="7" borderId="13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7" fillId="8" borderId="38" xfId="0" applyFont="1" applyFill="1" applyBorder="1" applyAlignment="1">
      <alignment horizontal="left"/>
    </xf>
    <xf numFmtId="0" fontId="7" fillId="8" borderId="29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3" fontId="14" fillId="0" borderId="0" xfId="0" applyNumberFormat="1" applyFont="1" applyBorder="1"/>
    <xf numFmtId="3" fontId="14" fillId="0" borderId="0" xfId="0" applyNumberFormat="1" applyFont="1"/>
    <xf numFmtId="3" fontId="14" fillId="0" borderId="8" xfId="0" applyNumberFormat="1" applyFont="1" applyBorder="1"/>
    <xf numFmtId="0" fontId="0" fillId="0" borderId="0" xfId="0" applyBorder="1" applyAlignment="1">
      <alignment horizontal="right"/>
    </xf>
    <xf numFmtId="0" fontId="2" fillId="0" borderId="10" xfId="1" applyFont="1" applyFill="1" applyBorder="1" applyAlignment="1">
      <alignment wrapText="1"/>
    </xf>
  </cellXfs>
  <cellStyles count="1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Normal 2" xfId="142"/>
    <cellStyle name="Normal 3" xfId="144"/>
    <cellStyle name="Normal 4" xfId="171"/>
    <cellStyle name="Normal_Gender_Age" xfId="173"/>
    <cellStyle name="Normal_Sheet2" xfId="1"/>
    <cellStyle name="Percent" xfId="172" builtinId="5"/>
    <cellStyle name="Percent 2" xfId="143"/>
  </cellStyles>
  <dxfs count="12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wrapText="1" readingOrder="0"/>
    </dxf>
    <dxf>
      <numFmt numFmtId="3" formatCode="#,##0"/>
    </dxf>
    <dxf>
      <numFmt numFmtId="3" formatCode="#,##0"/>
    </dxf>
    <dxf>
      <border>
        <left style="thin">
          <color theme="3"/>
        </left>
        <right style="thin">
          <color theme="3"/>
        </right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bottom style="thin">
          <color theme="3"/>
        </bottom>
      </border>
    </dxf>
    <dxf>
      <numFmt numFmtId="3" formatCode="#,##0"/>
    </dxf>
    <dxf>
      <numFmt numFmtId="14" formatCode="0.00%"/>
    </dxf>
    <dxf>
      <numFmt numFmtId="3" formatCode="#,##0"/>
    </dxf>
    <dxf>
      <numFmt numFmtId="3" formatCode="#,##0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right style="thin">
          <color theme="3"/>
        </right>
      </border>
    </dxf>
    <dxf>
      <numFmt numFmtId="3" formatCode="#,##0"/>
    </dxf>
    <dxf>
      <alignment horizontal="center" readingOrder="0"/>
    </dxf>
    <dxf>
      <numFmt numFmtId="3" formatCode="#,##0"/>
    </dxf>
    <dxf>
      <border>
        <right/>
      </border>
    </dxf>
    <dxf>
      <border>
        <right/>
      </border>
    </dxf>
    <dxf>
      <border>
        <right style="thin">
          <color theme="3"/>
        </right>
      </border>
    </dxf>
    <dxf>
      <alignment horizontal="center" readingOrder="0"/>
    </dxf>
    <dxf>
      <numFmt numFmtId="3" formatCode="#,##0"/>
    </dxf>
    <dxf>
      <border>
        <right style="thin">
          <color theme="3"/>
        </right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right style="thin">
          <color theme="3"/>
        </right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alignment horizontal="center" readingOrder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medium">
          <color rgb="FF002060"/>
        </left>
        <right style="medium">
          <color rgb="FF002060"/>
        </right>
        <top style="medium">
          <color rgb="FF002060"/>
        </top>
        <bottom style="medium">
          <color rgb="FF002060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27"/>
      <tableStyleElement type="headerRow" dxfId="126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solidFill>
                  <a:srgbClr val="1F497D"/>
                </a:solidFill>
                <a:effectLst/>
                <a:latin typeface="Helvetica" panose="020B0604020202030204" pitchFamily="34" charset="0"/>
              </a:rPr>
              <a:t>Demographic Distribution</a:t>
            </a:r>
            <a:endParaRPr lang="fr-FR" sz="1100">
              <a:solidFill>
                <a:srgbClr val="1F497D"/>
              </a:solidFill>
              <a:effectLst/>
              <a:latin typeface="Helvetica" panose="020B0604020202030204" pitchFamily="34" charset="0"/>
            </a:endParaRPr>
          </a:p>
        </c:rich>
      </c:tx>
      <c:layout>
        <c:manualLayout>
          <c:xMode val="edge"/>
          <c:yMode val="edge"/>
          <c:x val="0.43900701641065648"/>
          <c:y val="4.0532992898747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052469674738956E-2"/>
          <c:y val="0.14429516713840268"/>
          <c:w val="0.89742816163250216"/>
          <c:h val="0.800886144499304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Demographic!$B$62</c:f>
              <c:strCache>
                <c:ptCount val="1"/>
                <c:pt idx="0">
                  <c:v>100-Male</c:v>
                </c:pt>
              </c:strCache>
            </c:strRef>
          </c:tx>
          <c:spPr>
            <a:noFill/>
          </c:spPr>
          <c:invertIfNegative val="0"/>
          <c:cat>
            <c:strRef>
              <c:f>Demographic!$A$63:$A$70</c:f>
              <c:strCache>
                <c:ptCount val="8"/>
                <c:pt idx="0">
                  <c:v>0 -1 yr</c:v>
                </c:pt>
                <c:pt idx="1">
                  <c:v>1-3 yrs</c:v>
                </c:pt>
                <c:pt idx="2">
                  <c:v>4-6 yrs</c:v>
                </c:pt>
                <c:pt idx="3">
                  <c:v>7-13 yrs</c:v>
                </c:pt>
                <c:pt idx="4">
                  <c:v>14-17 yrs</c:v>
                </c:pt>
                <c:pt idx="5">
                  <c:v>18-24 yrs</c:v>
                </c:pt>
                <c:pt idx="6">
                  <c:v>25-59 yrs</c:v>
                </c:pt>
                <c:pt idx="7">
                  <c:v>60+</c:v>
                </c:pt>
              </c:strCache>
            </c:strRef>
          </c:cat>
          <c:val>
            <c:numRef>
              <c:f>Demographic!$B$63:$B$70</c:f>
              <c:numCache>
                <c:formatCode>0.00</c:formatCode>
                <c:ptCount val="8"/>
                <c:pt idx="0">
                  <c:v>0.43073755147884685</c:v>
                </c:pt>
                <c:pt idx="1">
                  <c:v>0.39254960688880569</c:v>
                </c:pt>
                <c:pt idx="2">
                  <c:v>0.36447023586671656</c:v>
                </c:pt>
                <c:pt idx="3">
                  <c:v>0.3352676900037439</c:v>
                </c:pt>
                <c:pt idx="4">
                  <c:v>0.36821415200299512</c:v>
                </c:pt>
                <c:pt idx="5">
                  <c:v>0.3704605016847623</c:v>
                </c:pt>
                <c:pt idx="6">
                  <c:v>0.29932609509546987</c:v>
                </c:pt>
                <c:pt idx="7">
                  <c:v>0.43897416697865965</c:v>
                </c:pt>
              </c:numCache>
            </c:numRef>
          </c:val>
        </c:ser>
        <c:ser>
          <c:idx val="1"/>
          <c:order val="1"/>
          <c:tx>
            <c:strRef>
              <c:f>Demographic!$C$62</c:f>
              <c:strCache>
                <c:ptCount val="1"/>
                <c:pt idx="0">
                  <c:v>Male 50%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  <a:latin typeface="Calibri (Body)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Demographic!$A$63:$A$70</c:f>
              <c:strCache>
                <c:ptCount val="8"/>
                <c:pt idx="0">
                  <c:v>0 -1 yr</c:v>
                </c:pt>
                <c:pt idx="1">
                  <c:v>1-3 yrs</c:v>
                </c:pt>
                <c:pt idx="2">
                  <c:v>4-6 yrs</c:v>
                </c:pt>
                <c:pt idx="3">
                  <c:v>7-13 yrs</c:v>
                </c:pt>
                <c:pt idx="4">
                  <c:v>14-17 yrs</c:v>
                </c:pt>
                <c:pt idx="5">
                  <c:v>18-24 yrs</c:v>
                </c:pt>
                <c:pt idx="6">
                  <c:v>25-59 yrs</c:v>
                </c:pt>
                <c:pt idx="7">
                  <c:v>60+</c:v>
                </c:pt>
              </c:strCache>
            </c:strRef>
          </c:cat>
          <c:val>
            <c:numRef>
              <c:f>Demographic!$C$63:$C$70</c:f>
              <c:numCache>
                <c:formatCode>0%</c:formatCode>
                <c:ptCount val="8"/>
                <c:pt idx="0">
                  <c:v>6.9262448521153125E-2</c:v>
                </c:pt>
                <c:pt idx="1">
                  <c:v>0.10745039311119431</c:v>
                </c:pt>
                <c:pt idx="2">
                  <c:v>0.13552976413328341</c:v>
                </c:pt>
                <c:pt idx="3">
                  <c:v>0.16473230999625607</c:v>
                </c:pt>
                <c:pt idx="4">
                  <c:v>0.13178584799700488</c:v>
                </c:pt>
                <c:pt idx="5">
                  <c:v>0.12953949831523773</c:v>
                </c:pt>
                <c:pt idx="6">
                  <c:v>0.20067390490453013</c:v>
                </c:pt>
                <c:pt idx="7">
                  <c:v>6.102583302134032E-2</c:v>
                </c:pt>
              </c:numCache>
            </c:numRef>
          </c:val>
        </c:ser>
        <c:ser>
          <c:idx val="2"/>
          <c:order val="2"/>
          <c:tx>
            <c:strRef>
              <c:f>Demographic!$D$62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1F497D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Demographic!$A$63:$A$70</c:f>
              <c:strCache>
                <c:ptCount val="8"/>
                <c:pt idx="0">
                  <c:v>0 -1 yr</c:v>
                </c:pt>
                <c:pt idx="1">
                  <c:v>1-3 yrs</c:v>
                </c:pt>
                <c:pt idx="2">
                  <c:v>4-6 yrs</c:v>
                </c:pt>
                <c:pt idx="3">
                  <c:v>7-13 yrs</c:v>
                </c:pt>
                <c:pt idx="4">
                  <c:v>14-17 yrs</c:v>
                </c:pt>
                <c:pt idx="5">
                  <c:v>18-24 yrs</c:v>
                </c:pt>
                <c:pt idx="6">
                  <c:v>25-59 yrs</c:v>
                </c:pt>
                <c:pt idx="7">
                  <c:v>60+</c:v>
                </c:pt>
              </c:strCache>
            </c:strRef>
          </c:cat>
          <c:val>
            <c:numRef>
              <c:f>Demographic!$D$63:$D$70</c:f>
              <c:numCache>
                <c:formatCode>General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ser>
          <c:idx val="3"/>
          <c:order val="3"/>
          <c:tx>
            <c:strRef>
              <c:f>Demographic!$E$62</c:f>
              <c:strCache>
                <c:ptCount val="1"/>
                <c:pt idx="0">
                  <c:v>100_Female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  <a:latin typeface="Calibri (Body)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Demographic!$A$63:$A$70</c:f>
              <c:strCache>
                <c:ptCount val="8"/>
                <c:pt idx="0">
                  <c:v>0 -1 yr</c:v>
                </c:pt>
                <c:pt idx="1">
                  <c:v>1-3 yrs</c:v>
                </c:pt>
                <c:pt idx="2">
                  <c:v>4-6 yrs</c:v>
                </c:pt>
                <c:pt idx="3">
                  <c:v>7-13 yrs</c:v>
                </c:pt>
                <c:pt idx="4">
                  <c:v>14-17 yrs</c:v>
                </c:pt>
                <c:pt idx="5">
                  <c:v>18-24 yrs</c:v>
                </c:pt>
                <c:pt idx="6">
                  <c:v>25-59 yrs</c:v>
                </c:pt>
                <c:pt idx="7">
                  <c:v>60+</c:v>
                </c:pt>
              </c:strCache>
            </c:strRef>
          </c:cat>
          <c:val>
            <c:numRef>
              <c:f>Demographic!$E$63:$E$70</c:f>
              <c:numCache>
                <c:formatCode>0%</c:formatCode>
                <c:ptCount val="8"/>
                <c:pt idx="0">
                  <c:v>7.0970042796005703E-2</c:v>
                </c:pt>
                <c:pt idx="1">
                  <c:v>0.10877318116975748</c:v>
                </c:pt>
                <c:pt idx="2">
                  <c:v>0.15335235378031384</c:v>
                </c:pt>
                <c:pt idx="3">
                  <c:v>0.15335235378031384</c:v>
                </c:pt>
                <c:pt idx="4">
                  <c:v>0.12482168330955777</c:v>
                </c:pt>
                <c:pt idx="5">
                  <c:v>0.1355206847360913</c:v>
                </c:pt>
                <c:pt idx="6">
                  <c:v>0.199358059914408</c:v>
                </c:pt>
                <c:pt idx="7">
                  <c:v>5.3851640513552068E-2</c:v>
                </c:pt>
              </c:numCache>
            </c:numRef>
          </c:val>
        </c:ser>
        <c:ser>
          <c:idx val="4"/>
          <c:order val="4"/>
          <c:tx>
            <c:strRef>
              <c:f>Demographic!$F$62</c:f>
              <c:strCache>
                <c:ptCount val="1"/>
                <c:pt idx="0">
                  <c:v>Female 50%</c:v>
                </c:pt>
              </c:strCache>
            </c:strRef>
          </c:tx>
          <c:spPr>
            <a:noFill/>
          </c:spPr>
          <c:invertIfNegative val="0"/>
          <c:cat>
            <c:strRef>
              <c:f>Demographic!$A$63:$A$70</c:f>
              <c:strCache>
                <c:ptCount val="8"/>
                <c:pt idx="0">
                  <c:v>0 -1 yr</c:v>
                </c:pt>
                <c:pt idx="1">
                  <c:v>1-3 yrs</c:v>
                </c:pt>
                <c:pt idx="2">
                  <c:v>4-6 yrs</c:v>
                </c:pt>
                <c:pt idx="3">
                  <c:v>7-13 yrs</c:v>
                </c:pt>
                <c:pt idx="4">
                  <c:v>14-17 yrs</c:v>
                </c:pt>
                <c:pt idx="5">
                  <c:v>18-24 yrs</c:v>
                </c:pt>
                <c:pt idx="6">
                  <c:v>25-59 yrs</c:v>
                </c:pt>
                <c:pt idx="7">
                  <c:v>60+</c:v>
                </c:pt>
              </c:strCache>
            </c:strRef>
          </c:cat>
          <c:val>
            <c:numRef>
              <c:f>Demographic!$F$63:$F$70</c:f>
              <c:numCache>
                <c:formatCode>0.00</c:formatCode>
                <c:ptCount val="8"/>
                <c:pt idx="0">
                  <c:v>0.42902995720399428</c:v>
                </c:pt>
                <c:pt idx="1">
                  <c:v>0.39122681883024252</c:v>
                </c:pt>
                <c:pt idx="2">
                  <c:v>0.34664764621968613</c:v>
                </c:pt>
                <c:pt idx="3">
                  <c:v>0.34664764621968613</c:v>
                </c:pt>
                <c:pt idx="4">
                  <c:v>0.37517831669044222</c:v>
                </c:pt>
                <c:pt idx="5">
                  <c:v>0.3644793152639087</c:v>
                </c:pt>
                <c:pt idx="6">
                  <c:v>0.30064194008559197</c:v>
                </c:pt>
                <c:pt idx="7">
                  <c:v>0.44614835948644793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89870336"/>
        <c:axId val="89871872"/>
      </c:barChart>
      <c:catAx>
        <c:axId val="89870336"/>
        <c:scaling>
          <c:orientation val="minMax"/>
        </c:scaling>
        <c:delete val="1"/>
        <c:axPos val="l"/>
        <c:majorTickMark val="out"/>
        <c:minorTickMark val="none"/>
        <c:tickLblPos val="nextTo"/>
        <c:crossAx val="89871872"/>
        <c:crosses val="autoZero"/>
        <c:auto val="1"/>
        <c:lblAlgn val="ctr"/>
        <c:lblOffset val="100"/>
        <c:noMultiLvlLbl val="0"/>
      </c:catAx>
      <c:valAx>
        <c:axId val="8987187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898703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Provenance of Returnees from</a:t>
            </a:r>
            <a:r>
              <a:rPr lang="fr-FR" sz="1000" baseline="0"/>
              <a:t> a Foreign Country</a:t>
            </a:r>
            <a:endParaRPr lang="fr-FR" sz="1000"/>
          </a:p>
        </c:rich>
      </c:tx>
      <c:layout>
        <c:manualLayout>
          <c:xMode val="edge"/>
          <c:yMode val="edge"/>
          <c:x val="0.13824254127735444"/>
          <c:y val="9.2593289536277087E-3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'Return Trends'!$C$44:$C$46</c:f>
              <c:strCache>
                <c:ptCount val="3"/>
                <c:pt idx="0">
                  <c:v>Nigeria</c:v>
                </c:pt>
                <c:pt idx="1">
                  <c:v>Chad</c:v>
                </c:pt>
                <c:pt idx="2">
                  <c:v>Central African Republic</c:v>
                </c:pt>
              </c:strCache>
            </c:strRef>
          </c:cat>
          <c:val>
            <c:numRef>
              <c:f>'Return Trends'!$D$44:$D$46</c:f>
              <c:numCache>
                <c:formatCode>#,##0</c:formatCode>
                <c:ptCount val="3"/>
                <c:pt idx="0">
                  <c:v>3848</c:v>
                </c:pt>
                <c:pt idx="1">
                  <c:v>1814</c:v>
                </c:pt>
                <c:pt idx="2">
                  <c:v>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402314035991515"/>
          <c:y val="0.19822834645669291"/>
          <c:w val="0.33931001857468213"/>
          <c:h val="0.60354330708661419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'Return Trends'!$D$17</c:f>
              <c:strCache>
                <c:ptCount val="1"/>
                <c:pt idx="0">
                  <c:v>Diamare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Trends'!$D$18:$D$21</c:f>
              <c:numCache>
                <c:formatCode>#,##0</c:formatCode>
                <c:ptCount val="4"/>
                <c:pt idx="0">
                  <c:v>0</c:v>
                </c:pt>
                <c:pt idx="1">
                  <c:v>144</c:v>
                </c:pt>
                <c:pt idx="2">
                  <c:v>0</c:v>
                </c:pt>
                <c:pt idx="3">
                  <c:v>24</c:v>
                </c:pt>
              </c:numCache>
            </c:numRef>
          </c:val>
        </c:ser>
        <c:ser>
          <c:idx val="2"/>
          <c:order val="1"/>
          <c:tx>
            <c:strRef>
              <c:f>'Return Trends'!$E$17</c:f>
              <c:strCache>
                <c:ptCount val="1"/>
                <c:pt idx="0">
                  <c:v>Logone-Et-Chari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Trends'!$E$18:$E$21</c:f>
              <c:numCache>
                <c:formatCode>#,##0</c:formatCode>
                <c:ptCount val="4"/>
                <c:pt idx="0">
                  <c:v>490</c:v>
                </c:pt>
                <c:pt idx="1">
                  <c:v>196</c:v>
                </c:pt>
                <c:pt idx="2">
                  <c:v>16500</c:v>
                </c:pt>
                <c:pt idx="3">
                  <c:v>8800</c:v>
                </c:pt>
              </c:numCache>
            </c:numRef>
          </c:val>
        </c:ser>
        <c:ser>
          <c:idx val="3"/>
          <c:order val="2"/>
          <c:tx>
            <c:strRef>
              <c:f>'Return Trends'!$F$17</c:f>
              <c:strCache>
                <c:ptCount val="1"/>
                <c:pt idx="0">
                  <c:v>Mayo-Danay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Trends'!$F$18:$F$21</c:f>
              <c:numCache>
                <c:formatCode>#,##0</c:formatCode>
                <c:ptCount val="4"/>
                <c:pt idx="0">
                  <c:v>5605</c:v>
                </c:pt>
                <c:pt idx="1">
                  <c:v>2420</c:v>
                </c:pt>
                <c:pt idx="2">
                  <c:v>601</c:v>
                </c:pt>
                <c:pt idx="3">
                  <c:v>321</c:v>
                </c:pt>
              </c:numCache>
            </c:numRef>
          </c:val>
        </c:ser>
        <c:ser>
          <c:idx val="4"/>
          <c:order val="3"/>
          <c:tx>
            <c:strRef>
              <c:f>'Return Trends'!$G$17</c:f>
              <c:strCache>
                <c:ptCount val="1"/>
                <c:pt idx="0">
                  <c:v>Mayo-Kani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Trends'!$G$18:$G$21</c:f>
              <c:numCache>
                <c:formatCode>#,##0</c:formatCode>
                <c:ptCount val="4"/>
                <c:pt idx="0">
                  <c:v>0</c:v>
                </c:pt>
                <c:pt idx="1">
                  <c:v>46</c:v>
                </c:pt>
                <c:pt idx="2">
                  <c:v>111</c:v>
                </c:pt>
                <c:pt idx="3">
                  <c:v>35</c:v>
                </c:pt>
              </c:numCache>
            </c:numRef>
          </c:val>
        </c:ser>
        <c:ser>
          <c:idx val="5"/>
          <c:order val="4"/>
          <c:tx>
            <c:strRef>
              <c:f>'Return Trends'!$H$17</c:f>
              <c:strCache>
                <c:ptCount val="1"/>
                <c:pt idx="0">
                  <c:v>Mayo-Sava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Trends'!$H$18:$H$21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586</c:v>
                </c:pt>
              </c:numCache>
            </c:numRef>
          </c:val>
        </c:ser>
        <c:ser>
          <c:idx val="6"/>
          <c:order val="5"/>
          <c:tx>
            <c:strRef>
              <c:f>'Return Trends'!$I$17</c:f>
              <c:strCache>
                <c:ptCount val="1"/>
                <c:pt idx="0">
                  <c:v>Mayo-Tsanaga</c:v>
                </c:pt>
              </c:strCache>
            </c:strRef>
          </c:tx>
          <c:invertIfNegative val="0"/>
          <c:cat>
            <c:strRef>
              <c:f>'Return Trends'!$C$18:$C$21</c:f>
              <c:strCache>
                <c:ptCount val="4"/>
                <c:pt idx="0">
                  <c:v>Before 2014</c:v>
                </c:pt>
                <c:pt idx="1">
                  <c:v>In 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'Return Trends'!$I$18:$I$21</c:f>
              <c:numCache>
                <c:formatCode>#,##0</c:formatCode>
                <c:ptCount val="4"/>
                <c:pt idx="0">
                  <c:v>0</c:v>
                </c:pt>
                <c:pt idx="1">
                  <c:v>2381</c:v>
                </c:pt>
                <c:pt idx="2">
                  <c:v>864</c:v>
                </c:pt>
                <c:pt idx="3">
                  <c:v>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511808"/>
        <c:axId val="91517696"/>
      </c:barChart>
      <c:catAx>
        <c:axId val="9151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1517696"/>
        <c:crosses val="autoZero"/>
        <c:auto val="1"/>
        <c:lblAlgn val="ctr"/>
        <c:lblOffset val="100"/>
        <c:noMultiLvlLbl val="0"/>
      </c:catAx>
      <c:valAx>
        <c:axId val="91517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1511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[DTM_CMR_Baseline_Analysis_Round3_V3_ED_AA v4.xlsx]Settlement_totals!Tableau croisé dynamique15</c:name>
    <c:fmtId val="4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Settlement_totals!$B$4</c:f>
              <c:strCache>
                <c:ptCount val="1"/>
                <c:pt idx="0">
                  <c:v>Spontaneous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Settlement_totals!$B$5:$B$11</c:f>
              <c:numCache>
                <c:formatCode>#,##0</c:formatCode>
                <c:ptCount val="6"/>
                <c:pt idx="1">
                  <c:v>3548</c:v>
                </c:pt>
                <c:pt idx="2">
                  <c:v>1072</c:v>
                </c:pt>
                <c:pt idx="4">
                  <c:v>1350</c:v>
                </c:pt>
                <c:pt idx="5">
                  <c:v>327</c:v>
                </c:pt>
              </c:numCache>
            </c:numRef>
          </c:val>
        </c:ser>
        <c:ser>
          <c:idx val="1"/>
          <c:order val="1"/>
          <c:tx>
            <c:strRef>
              <c:f>Settlement_totals!$C$4</c:f>
              <c:strCache>
                <c:ptCount val="1"/>
                <c:pt idx="0">
                  <c:v>Rental</c:v>
                </c:pt>
              </c:strCache>
            </c:strRef>
          </c:tx>
          <c:invertIfNegative val="0"/>
          <c:dLbls>
            <c:delete val="1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Settlement_totals!$C$5:$C$11</c:f>
              <c:numCache>
                <c:formatCode>#,##0</c:formatCode>
                <c:ptCount val="6"/>
                <c:pt idx="0">
                  <c:v>363</c:v>
                </c:pt>
                <c:pt idx="1">
                  <c:v>1902</c:v>
                </c:pt>
                <c:pt idx="2">
                  <c:v>288</c:v>
                </c:pt>
                <c:pt idx="3">
                  <c:v>18</c:v>
                </c:pt>
                <c:pt idx="4">
                  <c:v>841</c:v>
                </c:pt>
                <c:pt idx="5">
                  <c:v>277</c:v>
                </c:pt>
              </c:numCache>
            </c:numRef>
          </c:val>
        </c:ser>
        <c:ser>
          <c:idx val="2"/>
          <c:order val="2"/>
          <c:tx>
            <c:strRef>
              <c:f>Settlement_totals!$D$4</c:f>
              <c:strCache>
                <c:ptCount val="1"/>
                <c:pt idx="0">
                  <c:v>Collective Shelter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Settlement_totals!$D$5:$D$11</c:f>
              <c:numCache>
                <c:formatCode>#,##0</c:formatCode>
                <c:ptCount val="6"/>
                <c:pt idx="2">
                  <c:v>138</c:v>
                </c:pt>
                <c:pt idx="4">
                  <c:v>850</c:v>
                </c:pt>
                <c:pt idx="5">
                  <c:v>105</c:v>
                </c:pt>
              </c:numCache>
            </c:numRef>
          </c:val>
        </c:ser>
        <c:ser>
          <c:idx val="3"/>
          <c:order val="3"/>
          <c:tx>
            <c:strRef>
              <c:f>Settlement_totals!$E$4</c:f>
              <c:strCache>
                <c:ptCount val="1"/>
                <c:pt idx="0">
                  <c:v>Open_Air</c:v>
                </c:pt>
              </c:strCache>
            </c:strRef>
          </c:tx>
          <c:invertIfNegative val="0"/>
          <c:dLbls>
            <c:delete val="1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Settlement_totals!$E$5:$E$11</c:f>
              <c:numCache>
                <c:formatCode>#,##0</c:formatCode>
                <c:ptCount val="6"/>
                <c:pt idx="0">
                  <c:v>20</c:v>
                </c:pt>
                <c:pt idx="1">
                  <c:v>224</c:v>
                </c:pt>
                <c:pt idx="4">
                  <c:v>373</c:v>
                </c:pt>
              </c:numCache>
            </c:numRef>
          </c:val>
        </c:ser>
        <c:ser>
          <c:idx val="4"/>
          <c:order val="4"/>
          <c:tx>
            <c:strRef>
              <c:f>Settlement_totals!$F$4</c:f>
              <c:strCache>
                <c:ptCount val="1"/>
                <c:pt idx="0">
                  <c:v>Host Family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Settlement_totals!$F$5:$F$11</c:f>
              <c:numCache>
                <c:formatCode>#,##0</c:formatCode>
                <c:ptCount val="6"/>
                <c:pt idx="0">
                  <c:v>96</c:v>
                </c:pt>
                <c:pt idx="1">
                  <c:v>16761</c:v>
                </c:pt>
                <c:pt idx="2">
                  <c:v>3324</c:v>
                </c:pt>
                <c:pt idx="3">
                  <c:v>64</c:v>
                </c:pt>
                <c:pt idx="4">
                  <c:v>3394</c:v>
                </c:pt>
                <c:pt idx="5">
                  <c:v>3057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overlap val="100"/>
        <c:axId val="91324800"/>
        <c:axId val="91326336"/>
      </c:barChart>
      <c:catAx>
        <c:axId val="91324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91326336"/>
        <c:crosses val="autoZero"/>
        <c:auto val="1"/>
        <c:lblAlgn val="ctr"/>
        <c:lblOffset val="100"/>
        <c:noMultiLvlLbl val="0"/>
      </c:catAx>
      <c:valAx>
        <c:axId val="91326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13248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66666666666668E-2"/>
          <c:y val="0.1022258962608059"/>
          <c:w val="0.93232736816988782"/>
          <c:h val="0.8219961089584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Settlement_totals!$I$4</c:f>
              <c:strCache>
                <c:ptCount val="1"/>
                <c:pt idx="0">
                  <c:v>Spontaneous Sites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Settlement_totals!$I$5:$I$10</c:f>
              <c:numCache>
                <c:formatCode>0%</c:formatCode>
                <c:ptCount val="6"/>
                <c:pt idx="0">
                  <c:v>0</c:v>
                </c:pt>
                <c:pt idx="1">
                  <c:v>0.15814575440160464</c:v>
                </c:pt>
                <c:pt idx="2">
                  <c:v>0.22231439236831191</c:v>
                </c:pt>
                <c:pt idx="3">
                  <c:v>0</c:v>
                </c:pt>
                <c:pt idx="4">
                  <c:v>0.19829612220916568</c:v>
                </c:pt>
                <c:pt idx="5">
                  <c:v>8.6829527349973443E-2</c:v>
                </c:pt>
              </c:numCache>
            </c:numRef>
          </c:val>
        </c:ser>
        <c:ser>
          <c:idx val="1"/>
          <c:order val="1"/>
          <c:tx>
            <c:strRef>
              <c:f>Settlement_totals!$J$4</c:f>
              <c:strCache>
                <c:ptCount val="1"/>
                <c:pt idx="0">
                  <c:v>Rented Spaces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Settlement_totals!$J$5:$J$10</c:f>
              <c:numCache>
                <c:formatCode>0%</c:formatCode>
                <c:ptCount val="6"/>
                <c:pt idx="0">
                  <c:v>0.75782881002087688</c:v>
                </c:pt>
                <c:pt idx="1">
                  <c:v>8.4778248272788057E-2</c:v>
                </c:pt>
                <c:pt idx="2">
                  <c:v>5.9726254666113643E-2</c:v>
                </c:pt>
                <c:pt idx="3">
                  <c:v>0.21951219512195122</c:v>
                </c:pt>
                <c:pt idx="4">
                  <c:v>0.12353113983548766</c:v>
                </c:pt>
                <c:pt idx="5">
                  <c:v>7.3552841210833775E-2</c:v>
                </c:pt>
              </c:numCache>
            </c:numRef>
          </c:val>
        </c:ser>
        <c:ser>
          <c:idx val="2"/>
          <c:order val="2"/>
          <c:tx>
            <c:strRef>
              <c:f>Settlement_totals!$K$4</c:f>
              <c:strCache>
                <c:ptCount val="1"/>
                <c:pt idx="0">
                  <c:v>Collective Housing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9.86089410098539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5"/>
              <c:layout>
                <c:manualLayout>
                  <c:x val="1.8817792207715235E-3"/>
                  <c:y val="-9.86089410098539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Settlement_totals!$K$5:$K$10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2.8618830360846122E-2</c:v>
                </c:pt>
                <c:pt idx="3">
                  <c:v>0</c:v>
                </c:pt>
                <c:pt idx="4">
                  <c:v>0.12485311398354877</c:v>
                </c:pt>
                <c:pt idx="5">
                  <c:v>2.7881040892193308E-2</c:v>
                </c:pt>
              </c:numCache>
            </c:numRef>
          </c:val>
        </c:ser>
        <c:ser>
          <c:idx val="3"/>
          <c:order val="3"/>
          <c:tx>
            <c:strRef>
              <c:f>Settlement_totals!$L$4</c:f>
              <c:strCache>
                <c:ptCount val="1"/>
                <c:pt idx="0">
                  <c:v>Open Air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881779220771558E-3"/>
                  <c:y val="-6.5739294006569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Settlement_totals!$L$5:$L$10</c:f>
              <c:numCache>
                <c:formatCode>0%</c:formatCode>
                <c:ptCount val="6"/>
                <c:pt idx="0">
                  <c:v>4.1753653444676408E-2</c:v>
                </c:pt>
                <c:pt idx="1">
                  <c:v>9.984399375975039E-3</c:v>
                </c:pt>
                <c:pt idx="2">
                  <c:v>0</c:v>
                </c:pt>
                <c:pt idx="3">
                  <c:v>0</c:v>
                </c:pt>
                <c:pt idx="4">
                  <c:v>5.4788484136310225E-2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Settlement_totals!$M$4</c:f>
              <c:strCache>
                <c:ptCount val="1"/>
                <c:pt idx="0">
                  <c:v>Host Families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Settlement_totals!$M$5:$M$10</c:f>
              <c:numCache>
                <c:formatCode>0%</c:formatCode>
                <c:ptCount val="6"/>
                <c:pt idx="0">
                  <c:v>0.20041753653444677</c:v>
                </c:pt>
                <c:pt idx="1">
                  <c:v>0.74709159794963231</c:v>
                </c:pt>
                <c:pt idx="2">
                  <c:v>0.68934052260472833</c:v>
                </c:pt>
                <c:pt idx="3">
                  <c:v>0.78048780487804881</c:v>
                </c:pt>
                <c:pt idx="4">
                  <c:v>0.49853113983548764</c:v>
                </c:pt>
                <c:pt idx="5">
                  <c:v>0.81173659054699943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43"/>
        <c:overlap val="100"/>
        <c:axId val="91445888"/>
        <c:axId val="91459968"/>
      </c:barChart>
      <c:catAx>
        <c:axId val="9144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91459968"/>
        <c:crosses val="autoZero"/>
        <c:auto val="1"/>
        <c:lblAlgn val="ctr"/>
        <c:lblOffset val="100"/>
        <c:noMultiLvlLbl val="0"/>
      </c:catAx>
      <c:valAx>
        <c:axId val="91459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14458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Settlement_totals!$O$4</c:f>
              <c:strCache>
                <c:ptCount val="1"/>
                <c:pt idx="0">
                  <c:v>Abris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Settlement_totals!$O$5:$O$9</c:f>
              <c:strCache>
                <c:ptCount val="5"/>
                <c:pt idx="0">
                  <c:v>Spontaneous Sites</c:v>
                </c:pt>
                <c:pt idx="1">
                  <c:v>Collective Shelters</c:v>
                </c:pt>
                <c:pt idx="2">
                  <c:v>Host Families</c:v>
                </c:pt>
                <c:pt idx="3">
                  <c:v>Open-Air Spaces</c:v>
                </c:pt>
                <c:pt idx="4">
                  <c:v>Rented Spaces</c:v>
                </c:pt>
              </c:strCache>
            </c:strRef>
          </c:cat>
          <c:val>
            <c:numRef>
              <c:f>Settlement_totals!$Q$5:$Q$9</c:f>
              <c:numCache>
                <c:formatCode>0%</c:formatCode>
                <c:ptCount val="5"/>
                <c:pt idx="0">
                  <c:v>0.1640185455303188</c:v>
                </c:pt>
                <c:pt idx="1">
                  <c:v>2.8469472806834758E-2</c:v>
                </c:pt>
                <c:pt idx="2">
                  <c:v>0.69535319858303812</c:v>
                </c:pt>
                <c:pt idx="3">
                  <c:v>1.6071056470097937E-2</c:v>
                </c:pt>
                <c:pt idx="4">
                  <c:v>9.608772660971035E-2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'Displacement_Reasons (IDPs_Ref)'!$L$19</c:f>
              <c:strCache>
                <c:ptCount val="1"/>
                <c:pt idx="0">
                  <c:v>Floods_Natural_Disasters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(IDPs_Ref)'!$K$20:$K$25</c:f>
              <c:strCache>
                <c:ptCount val="6"/>
                <c:pt idx="0">
                  <c:v>Before 2014</c:v>
                </c:pt>
                <c:pt idx="1">
                  <c:v>In 2014</c:v>
                </c:pt>
                <c:pt idx="2">
                  <c:v>Jan-Aug 15</c:v>
                </c:pt>
                <c:pt idx="3">
                  <c:v>Sept-Nov 15</c:v>
                </c:pt>
                <c:pt idx="4">
                  <c:v>Dec 15-Feb 16</c:v>
                </c:pt>
                <c:pt idx="5">
                  <c:v>Mar-Apr 16</c:v>
                </c:pt>
              </c:strCache>
            </c:strRef>
          </c:cat>
          <c:val>
            <c:numRef>
              <c:f>'Displacement_Reasons (IDPs_Ref)'!$L$20:$L$25</c:f>
              <c:numCache>
                <c:formatCode>0%</c:formatCode>
                <c:ptCount val="6"/>
                <c:pt idx="0">
                  <c:v>0.10055219722191489</c:v>
                </c:pt>
                <c:pt idx="1">
                  <c:v>1.6389897506563E-2</c:v>
                </c:pt>
                <c:pt idx="2">
                  <c:v>6.3869806177769281E-3</c:v>
                </c:pt>
                <c:pt idx="3">
                  <c:v>4.3919292704760561E-2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(IDPs_Ref)'!$M$19</c:f>
              <c:strCache>
                <c:ptCount val="1"/>
                <c:pt idx="0">
                  <c:v>Conflict_ISWA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(IDPs_Ref)'!$K$20:$K$25</c:f>
              <c:strCache>
                <c:ptCount val="6"/>
                <c:pt idx="0">
                  <c:v>Before 2014</c:v>
                </c:pt>
                <c:pt idx="1">
                  <c:v>In 2014</c:v>
                </c:pt>
                <c:pt idx="2">
                  <c:v>Jan-Aug 15</c:v>
                </c:pt>
                <c:pt idx="3">
                  <c:v>Sept-Nov 15</c:v>
                </c:pt>
                <c:pt idx="4">
                  <c:v>Dec 15-Feb 16</c:v>
                </c:pt>
                <c:pt idx="5">
                  <c:v>Mar-Apr 16</c:v>
                </c:pt>
              </c:strCache>
            </c:strRef>
          </c:cat>
          <c:val>
            <c:numRef>
              <c:f>'Displacement_Reasons (IDPs_Ref)'!$M$20:$M$25</c:f>
              <c:numCache>
                <c:formatCode>0%</c:formatCode>
                <c:ptCount val="6"/>
                <c:pt idx="0">
                  <c:v>2.1725792337634908E-3</c:v>
                </c:pt>
                <c:pt idx="1">
                  <c:v>0.31372647629776407</c:v>
                </c:pt>
                <c:pt idx="2">
                  <c:v>0.23837519236378632</c:v>
                </c:pt>
                <c:pt idx="3">
                  <c:v>0.16292835517647178</c:v>
                </c:pt>
                <c:pt idx="4">
                  <c:v>7.2590297824403294E-2</c:v>
                </c:pt>
                <c:pt idx="5">
                  <c:v>4.2888323392442237E-2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(IDPs_Ref)'!$N$19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(IDPs_Ref)'!$K$20:$K$25</c:f>
              <c:strCache>
                <c:ptCount val="6"/>
                <c:pt idx="0">
                  <c:v>Before 2014</c:v>
                </c:pt>
                <c:pt idx="1">
                  <c:v>In 2014</c:v>
                </c:pt>
                <c:pt idx="2">
                  <c:v>Jan-Aug 15</c:v>
                </c:pt>
                <c:pt idx="3">
                  <c:v>Sept-Nov 15</c:v>
                </c:pt>
                <c:pt idx="4">
                  <c:v>Dec 15-Feb 16</c:v>
                </c:pt>
                <c:pt idx="5">
                  <c:v>Mar-Apr 16</c:v>
                </c:pt>
              </c:strCache>
            </c:strRef>
          </c:cat>
          <c:val>
            <c:numRef>
              <c:f>'Displacement_Reasons (IDPs_Ref)'!$N$20:$N$25</c:f>
              <c:numCache>
                <c:formatCode>0%</c:formatCode>
                <c:ptCount val="6"/>
                <c:pt idx="0">
                  <c:v>5.0291185966747471E-5</c:v>
                </c:pt>
                <c:pt idx="1">
                  <c:v>2.0116474386698986E-5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9684608"/>
        <c:axId val="89702784"/>
      </c:barChart>
      <c:catAx>
        <c:axId val="89684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89702784"/>
        <c:crosses val="autoZero"/>
        <c:auto val="1"/>
        <c:lblAlgn val="ctr"/>
        <c:lblOffset val="100"/>
        <c:noMultiLvlLbl val="0"/>
      </c:catAx>
      <c:valAx>
        <c:axId val="89702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89684608"/>
        <c:crosses val="autoZero"/>
        <c:crossBetween val="between"/>
      </c:valAx>
      <c:spPr>
        <a:noFill/>
        <a:ln>
          <a:noFill/>
        </a:ln>
      </c:spPr>
    </c:plotArea>
    <c:legend>
      <c:legendPos val="t"/>
      <c:layout/>
      <c:overlay val="0"/>
      <c:txPr>
        <a:bodyPr/>
        <a:lstStyle/>
        <a:p>
          <a:pPr>
            <a:defRPr b="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(IDPs_Ref)'!$L$60</c:f>
              <c:strCache>
                <c:ptCount val="1"/>
                <c:pt idx="0">
                  <c:v>Floods_Natural_Disasters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(IDPs_Ref)'!$L$61:$L$66</c:f>
              <c:numCache>
                <c:formatCode>0%</c:formatCode>
                <c:ptCount val="6"/>
                <c:pt idx="0">
                  <c:v>0</c:v>
                </c:pt>
                <c:pt idx="1">
                  <c:v>7.1222377566107761E-2</c:v>
                </c:pt>
                <c:pt idx="2">
                  <c:v>9.5799680148057245E-2</c:v>
                </c:pt>
                <c:pt idx="3">
                  <c:v>2.263103368503636E-4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(IDPs_Ref)'!$M$60</c:f>
              <c:strCache>
                <c:ptCount val="1"/>
                <c:pt idx="0">
                  <c:v>Conflict_ISWA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(IDPs_Ref)'!$M$61:$M$66</c:f>
              <c:numCache>
                <c:formatCode>0%</c:formatCode>
                <c:ptCount val="6"/>
                <c:pt idx="0">
                  <c:v>1.8155118133995837E-2</c:v>
                </c:pt>
                <c:pt idx="1">
                  <c:v>0.51791372044135542</c:v>
                </c:pt>
                <c:pt idx="2">
                  <c:v>6.160670280926565E-3</c:v>
                </c:pt>
                <c:pt idx="3">
                  <c:v>1.0812604982850707E-3</c:v>
                </c:pt>
                <c:pt idx="4">
                  <c:v>0.17263958318665071</c:v>
                </c:pt>
                <c:pt idx="5">
                  <c:v>0.11673087174741754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(IDPs_Ref)'!$N$60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(IDPs_Ref)'!$N$61:$N$66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2.0116474386698986E-5</c:v>
                </c:pt>
                <c:pt idx="3">
                  <c:v>5.0291185966747471E-5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100"/>
        <c:axId val="91896064"/>
        <c:axId val="91906048"/>
      </c:barChart>
      <c:catAx>
        <c:axId val="9189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1906048"/>
        <c:crosses val="autoZero"/>
        <c:auto val="1"/>
        <c:lblAlgn val="ctr"/>
        <c:lblOffset val="100"/>
        <c:noMultiLvlLbl val="0"/>
      </c:catAx>
      <c:valAx>
        <c:axId val="91906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1896064"/>
        <c:crosses val="autoZero"/>
        <c:crossBetween val="between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[DTM_CMR_Baseline_Analysis_Round3_V3_ED_AA v4.xlsx]Displacement_Reasons (IDPs_Ref)!PivotTable1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7"/>
        <c:spPr>
          <a:solidFill>
            <a:schemeClr val="tx2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(IDPs_Ref)'!$D$57:$D$58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'Displacement_Reasons (IDPs_Ref)'!$C$59:$C$65</c:f>
              <c:strCache>
                <c:ptCount val="6"/>
                <c:pt idx="0">
                  <c:v>Before_2014</c:v>
                </c:pt>
                <c:pt idx="1">
                  <c:v>In_2014</c:v>
                </c:pt>
                <c:pt idx="2">
                  <c:v>January_August_2015</c:v>
                </c:pt>
                <c:pt idx="3">
                  <c:v>September_November_2015</c:v>
                </c:pt>
                <c:pt idx="4">
                  <c:v>December_2015_February_2016</c:v>
                </c:pt>
                <c:pt idx="5">
                  <c:v>March_April_2016</c:v>
                </c:pt>
              </c:strCache>
            </c:strRef>
          </c:cat>
          <c:val>
            <c:numRef>
              <c:f>'Displacement_Reasons (IDPs_Ref)'!$D$59:$D$65</c:f>
              <c:numCache>
                <c:formatCode>#,##0</c:formatCode>
                <c:ptCount val="6"/>
                <c:pt idx="0">
                  <c:v>20426</c:v>
                </c:pt>
                <c:pt idx="1">
                  <c:v>61719</c:v>
                </c:pt>
                <c:pt idx="2">
                  <c:v>46374</c:v>
                </c:pt>
                <c:pt idx="3">
                  <c:v>39232</c:v>
                </c:pt>
                <c:pt idx="4">
                  <c:v>14312</c:v>
                </c:pt>
                <c:pt idx="5">
                  <c:v>8528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(IDPs_Ref)'!$E$57:$E$58</c:f>
              <c:strCache>
                <c:ptCount val="1"/>
                <c:pt idx="0">
                  <c:v>Unregistered Refugees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'Displacement_Reasons (IDPs_Ref)'!$C$59:$C$65</c:f>
              <c:strCache>
                <c:ptCount val="6"/>
                <c:pt idx="0">
                  <c:v>Before_2014</c:v>
                </c:pt>
                <c:pt idx="1">
                  <c:v>In_2014</c:v>
                </c:pt>
                <c:pt idx="2">
                  <c:v>January_August_2015</c:v>
                </c:pt>
                <c:pt idx="3">
                  <c:v>September_November_2015</c:v>
                </c:pt>
                <c:pt idx="4">
                  <c:v>December_2015_February_2016</c:v>
                </c:pt>
                <c:pt idx="5">
                  <c:v>March_April_2016</c:v>
                </c:pt>
              </c:strCache>
            </c:strRef>
          </c:cat>
          <c:val>
            <c:numRef>
              <c:f>'Displacement_Reasons (IDPs_Ref)'!$E$59:$E$65</c:f>
              <c:numCache>
                <c:formatCode>#,##0</c:formatCode>
                <c:ptCount val="6"/>
                <c:pt idx="0">
                  <c:v>10</c:v>
                </c:pt>
                <c:pt idx="1">
                  <c:v>3926</c:v>
                </c:pt>
                <c:pt idx="2">
                  <c:v>2295</c:v>
                </c:pt>
                <c:pt idx="3">
                  <c:v>1898</c:v>
                </c:pt>
                <c:pt idx="4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91944064"/>
        <c:axId val="91945600"/>
      </c:barChart>
      <c:catAx>
        <c:axId val="91944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91945600"/>
        <c:crosses val="autoZero"/>
        <c:auto val="1"/>
        <c:lblAlgn val="ctr"/>
        <c:lblOffset val="100"/>
        <c:noMultiLvlLbl val="0"/>
      </c:catAx>
      <c:valAx>
        <c:axId val="91945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1944064"/>
        <c:crosses val="autoZero"/>
        <c:crossBetween val="between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[DTM_CMR_Baseline_Analysis_Round3_V3_ED_AA v4.xlsx]Displacement_Reasons (IDPs_Ref)!PivotTable3</c:name>
    <c:fmtId val="4"/>
  </c:pivotSource>
  <c:chart>
    <c:autoTitleDeleted val="0"/>
    <c:pivotFmts>
      <c:pivotFmt>
        <c:idx val="0"/>
        <c:spPr>
          <a:solidFill>
            <a:schemeClr val="accent2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chemeClr val="accent1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layout>
            <c:manualLayout>
              <c:x val="0"/>
              <c:y val="-4.4545675759216592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(IDPs_Ref)'!$D$91:$D$92</c:f>
              <c:strCache>
                <c:ptCount val="1"/>
                <c:pt idx="0">
                  <c:v>Floods_Natural_Disasters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(IDPs_Ref)'!$C$93:$C$95</c:f>
              <c:strCache>
                <c:ptCount val="2"/>
                <c:pt idx="0">
                  <c:v>IDP</c:v>
                </c:pt>
                <c:pt idx="1">
                  <c:v>Unregistered Refugees</c:v>
                </c:pt>
              </c:strCache>
            </c:strRef>
          </c:cat>
          <c:val>
            <c:numRef>
              <c:f>'Displacement_Reasons (IDPs_Ref)'!$D$93:$D$95</c:f>
              <c:numCache>
                <c:formatCode>#,##0</c:formatCode>
                <c:ptCount val="2"/>
                <c:pt idx="0">
                  <c:v>33256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(IDPs_Ref)'!$E$91:$E$92</c:f>
              <c:strCache>
                <c:ptCount val="1"/>
                <c:pt idx="0">
                  <c:v>Conflict_ISWA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(IDPs_Ref)'!$C$93:$C$95</c:f>
              <c:strCache>
                <c:ptCount val="2"/>
                <c:pt idx="0">
                  <c:v>IDP</c:v>
                </c:pt>
                <c:pt idx="1">
                  <c:v>Unregistered Refugees</c:v>
                </c:pt>
              </c:strCache>
            </c:strRef>
          </c:cat>
          <c:val>
            <c:numRef>
              <c:f>'Displacement_Reasons (IDPs_Ref)'!$E$93:$E$95</c:f>
              <c:numCache>
                <c:formatCode>#,##0</c:formatCode>
                <c:ptCount val="2"/>
                <c:pt idx="0">
                  <c:v>157335</c:v>
                </c:pt>
                <c:pt idx="1">
                  <c:v>8237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(IDPs_Ref)'!$F$91:$F$92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4.45456757592165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(IDPs_Ref)'!$C$93:$C$95</c:f>
              <c:strCache>
                <c:ptCount val="2"/>
                <c:pt idx="0">
                  <c:v>IDP</c:v>
                </c:pt>
                <c:pt idx="1">
                  <c:v>Unregistered Refugees</c:v>
                </c:pt>
              </c:strCache>
            </c:strRef>
          </c:cat>
          <c:val>
            <c:numRef>
              <c:f>'Displacement_Reasons (IDPs_Ref)'!$F$93:$F$95</c:f>
              <c:numCache>
                <c:formatCode>#,##0</c:formatCode>
                <c:ptCount val="2"/>
                <c:pt idx="1">
                  <c:v>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060672"/>
        <c:axId val="92070656"/>
      </c:barChart>
      <c:catAx>
        <c:axId val="920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2070656"/>
        <c:crosses val="autoZero"/>
        <c:auto val="1"/>
        <c:lblAlgn val="ctr"/>
        <c:lblOffset val="100"/>
        <c:noMultiLvlLbl val="0"/>
      </c:catAx>
      <c:valAx>
        <c:axId val="92070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206067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Demographic!$G$48:$H$48</c:f>
              <c:strCache>
                <c:ptCount val="1"/>
                <c:pt idx="0">
                  <c:v>Male Female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(Demographic!$G$48:$H$48,Demographic!$G$57:$H$57)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49%</c:v>
                </c:pt>
                <c:pt idx="3">
                  <c:v>51%</c:v>
                </c:pt>
              </c:strCache>
            </c:strRef>
          </c:cat>
          <c:val>
            <c:numRef>
              <c:f>Demographic!$G$57:$H$57</c:f>
              <c:numCache>
                <c:formatCode>0%</c:formatCode>
                <c:ptCount val="2"/>
                <c:pt idx="0">
                  <c:v>0.48785388127853879</c:v>
                </c:pt>
                <c:pt idx="1">
                  <c:v>0.51214611872146121</c:v>
                </c:pt>
              </c:numCache>
            </c:numRef>
          </c:val>
        </c:ser>
        <c:ser>
          <c:idx val="1"/>
          <c:order val="1"/>
          <c:tx>
            <c:strRef>
              <c:f>Demographic!$H$48</c:f>
              <c:strCache>
                <c:ptCount val="1"/>
                <c:pt idx="0">
                  <c:v>Female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(Demographic!$G$48:$H$48,Demographic!$G$57:$H$57)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49%</c:v>
                </c:pt>
                <c:pt idx="3">
                  <c:v>51%</c:v>
                </c:pt>
              </c:strCache>
            </c:strRef>
          </c:cat>
          <c:val>
            <c:numRef>
              <c:f>Demographic!$H$57</c:f>
              <c:numCache>
                <c:formatCode>0%</c:formatCode>
                <c:ptCount val="1"/>
                <c:pt idx="0">
                  <c:v>0.51214611872146121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Displacement by year and type of displaced</a:t>
            </a:r>
            <a:r>
              <a:rPr lang="fr-FR" sz="1200" baseline="0"/>
              <a:t> population</a:t>
            </a:r>
            <a:endParaRPr lang="fr-FR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IDP</c:v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Trends'!$C$45:$C$48</c:f>
              <c:strCache>
                <c:ptCount val="4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'Displacement Trends'!$D$45:$D$48</c:f>
              <c:numCache>
                <c:formatCode>#,##0</c:formatCode>
                <c:ptCount val="4"/>
                <c:pt idx="0">
                  <c:v>20426</c:v>
                </c:pt>
                <c:pt idx="1">
                  <c:v>61719</c:v>
                </c:pt>
                <c:pt idx="2">
                  <c:v>85606</c:v>
                </c:pt>
                <c:pt idx="3">
                  <c:v>22840</c:v>
                </c:pt>
              </c:numCache>
            </c:numRef>
          </c:val>
        </c:ser>
        <c:ser>
          <c:idx val="1"/>
          <c:order val="1"/>
          <c:tx>
            <c:v>Unregistered Refugees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9956054141452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0889500787809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18678665729481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Trends'!$C$45:$C$48</c:f>
              <c:strCache>
                <c:ptCount val="4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'Displacement Trends'!$F$45:$F$48</c:f>
              <c:numCache>
                <c:formatCode>#,##0</c:formatCode>
                <c:ptCount val="4"/>
                <c:pt idx="0" formatCode="0">
                  <c:v>10</c:v>
                </c:pt>
                <c:pt idx="1">
                  <c:v>3926</c:v>
                </c:pt>
                <c:pt idx="2">
                  <c:v>4193</c:v>
                </c:pt>
                <c:pt idx="3">
                  <c:v>122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90423296"/>
        <c:axId val="90424832"/>
      </c:barChart>
      <c:catAx>
        <c:axId val="9042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424832"/>
        <c:crosses val="autoZero"/>
        <c:auto val="1"/>
        <c:lblAlgn val="ctr"/>
        <c:lblOffset val="100"/>
        <c:noMultiLvlLbl val="0"/>
      </c:catAx>
      <c:valAx>
        <c:axId val="90424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423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1563395697228E-2"/>
          <c:y val="4.6296296296296294E-3"/>
          <c:w val="0.74086610330621216"/>
          <c:h val="0.87939049285505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'Displacement Trends'!$L$55</c:f>
              <c:strCache>
                <c:ptCount val="1"/>
                <c:pt idx="0">
                  <c:v>IDP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Trends'!$K$56:$K$58</c:f>
              <c:strCache>
                <c:ptCount val="3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</c:strCache>
            </c:strRef>
          </c:cat>
          <c:val>
            <c:numRef>
              <c:f>'Displacement Trends'!$L$56:$L$58</c:f>
              <c:numCache>
                <c:formatCode>#,##0</c:formatCode>
                <c:ptCount val="3"/>
                <c:pt idx="0">
                  <c:v>158316</c:v>
                </c:pt>
                <c:pt idx="1">
                  <c:v>169970</c:v>
                </c:pt>
                <c:pt idx="2">
                  <c:v>190591</c:v>
                </c:pt>
              </c:numCache>
            </c:numRef>
          </c:val>
        </c:ser>
        <c:ser>
          <c:idx val="1"/>
          <c:order val="1"/>
          <c:tx>
            <c:strRef>
              <c:f>'Displacement Trends'!$M$55</c:f>
              <c:strCache>
                <c:ptCount val="1"/>
                <c:pt idx="0">
                  <c:v>Unregistered Refugees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Trends'!$K$56:$K$58</c:f>
              <c:strCache>
                <c:ptCount val="3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</c:strCache>
            </c:strRef>
          </c:cat>
          <c:val>
            <c:numRef>
              <c:f>'Displacement Trends'!$M$56:$M$58</c:f>
              <c:numCache>
                <c:formatCode>#,##0</c:formatCode>
                <c:ptCount val="3"/>
                <c:pt idx="0">
                  <c:v>11482</c:v>
                </c:pt>
                <c:pt idx="1">
                  <c:v>8108</c:v>
                </c:pt>
                <c:pt idx="2">
                  <c:v>8251</c:v>
                </c:pt>
              </c:numCache>
            </c:numRef>
          </c:val>
        </c:ser>
        <c:ser>
          <c:idx val="2"/>
          <c:order val="2"/>
          <c:tx>
            <c:strRef>
              <c:f>'Displacement Trends'!$N$55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Trends'!$K$56:$K$58</c:f>
              <c:strCache>
                <c:ptCount val="3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</c:strCache>
            </c:strRef>
          </c:cat>
          <c:val>
            <c:numRef>
              <c:f>'Displacement Trends'!$N$56:$N$58</c:f>
              <c:numCache>
                <c:formatCode>#,##0</c:formatCode>
                <c:ptCount val="3"/>
                <c:pt idx="0">
                  <c:v>30585</c:v>
                </c:pt>
                <c:pt idx="1">
                  <c:v>35434</c:v>
                </c:pt>
                <c:pt idx="2">
                  <c:v>39833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6"/>
        <c:axId val="90472832"/>
        <c:axId val="90474368"/>
      </c:barChart>
      <c:catAx>
        <c:axId val="904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0474368"/>
        <c:crosses val="autoZero"/>
        <c:auto val="1"/>
        <c:lblAlgn val="ctr"/>
        <c:lblOffset val="100"/>
        <c:noMultiLvlLbl val="0"/>
      </c:catAx>
      <c:valAx>
        <c:axId val="904743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04728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Percentage</a:t>
            </a:r>
            <a:r>
              <a:rPr lang="fr-FR" sz="1100" baseline="0"/>
              <a:t> of displaced categories (individuals)</a:t>
            </a:r>
            <a:endParaRPr lang="fr-FR" sz="1100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'Displacement Trends'!$D$4:$F$4</c:f>
              <c:strCache>
                <c:ptCount val="3"/>
                <c:pt idx="0">
                  <c:v># IDP</c:v>
                </c:pt>
                <c:pt idx="1">
                  <c:v># Unregistered_Refugees</c:v>
                </c:pt>
                <c:pt idx="2">
                  <c:v># Returnees</c:v>
                </c:pt>
              </c:strCache>
            </c:strRef>
          </c:cat>
          <c:val>
            <c:numRef>
              <c:f>'Displacement Trends'!$D$12:$F$12</c:f>
              <c:numCache>
                <c:formatCode>0%</c:formatCode>
                <c:ptCount val="3"/>
                <c:pt idx="0">
                  <c:v>0.79853776055305337</c:v>
                </c:pt>
                <c:pt idx="1">
                  <c:v>3.4570021996438674E-2</c:v>
                </c:pt>
                <c:pt idx="2">
                  <c:v>0.166892217450508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[DTM_CMR_Baseline_Analysis_Round3_V3_ED_AA v4.xlsx]Displacement Trends!PivotTable34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 Trends'!$D$4</c:f>
              <c:strCache>
                <c:ptCount val="1"/>
                <c:pt idx="0">
                  <c:v># IDP</c:v>
                </c:pt>
              </c:strCache>
            </c:strRef>
          </c:tx>
          <c:invertIfNegative val="0"/>
          <c:cat>
            <c:strRef>
              <c:f>'Displacement Trends'!$C$5:$C$11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Trends'!$D$5:$D$11</c:f>
              <c:numCache>
                <c:formatCode>#,##0</c:formatCode>
                <c:ptCount val="6"/>
                <c:pt idx="0">
                  <c:v>3610</c:v>
                </c:pt>
                <c:pt idx="1">
                  <c:v>110265</c:v>
                </c:pt>
                <c:pt idx="2">
                  <c:v>19434</c:v>
                </c:pt>
                <c:pt idx="3">
                  <c:v>258</c:v>
                </c:pt>
                <c:pt idx="4">
                  <c:v>33813</c:v>
                </c:pt>
                <c:pt idx="5">
                  <c:v>23211</c:v>
                </c:pt>
              </c:numCache>
            </c:numRef>
          </c:val>
        </c:ser>
        <c:ser>
          <c:idx val="1"/>
          <c:order val="1"/>
          <c:tx>
            <c:strRef>
              <c:f>'Displacement Trends'!$E$4</c:f>
              <c:strCache>
                <c:ptCount val="1"/>
                <c:pt idx="0">
                  <c:v># Unregistered_Refugees</c:v>
                </c:pt>
              </c:strCache>
            </c:strRef>
          </c:tx>
          <c:invertIfNegative val="0"/>
          <c:cat>
            <c:strRef>
              <c:f>'Displacement Trends'!$C$5:$C$11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Trends'!$E$5:$E$11</c:f>
              <c:numCache>
                <c:formatCode>#,##0</c:formatCode>
                <c:ptCount val="6"/>
                <c:pt idx="1">
                  <c:v>6880</c:v>
                </c:pt>
                <c:pt idx="2">
                  <c:v>844</c:v>
                </c:pt>
                <c:pt idx="3">
                  <c:v>12</c:v>
                </c:pt>
                <c:pt idx="4">
                  <c:v>515</c:v>
                </c:pt>
              </c:numCache>
            </c:numRef>
          </c:val>
        </c:ser>
        <c:ser>
          <c:idx val="2"/>
          <c:order val="2"/>
          <c:tx>
            <c:strRef>
              <c:f>'Displacement Trends'!$F$4</c:f>
              <c:strCache>
                <c:ptCount val="1"/>
                <c:pt idx="0">
                  <c:v># Returnees</c:v>
                </c:pt>
              </c:strCache>
            </c:strRef>
          </c:tx>
          <c:invertIfNegative val="0"/>
          <c:cat>
            <c:strRef>
              <c:f>'Displacement Trends'!$C$5:$C$11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Trends'!$F$5:$F$11</c:f>
              <c:numCache>
                <c:formatCode>#,##0</c:formatCode>
                <c:ptCount val="6"/>
                <c:pt idx="0">
                  <c:v>168</c:v>
                </c:pt>
                <c:pt idx="1">
                  <c:v>25986</c:v>
                </c:pt>
                <c:pt idx="2">
                  <c:v>8947</c:v>
                </c:pt>
                <c:pt idx="3">
                  <c:v>192</c:v>
                </c:pt>
                <c:pt idx="4">
                  <c:v>586</c:v>
                </c:pt>
                <c:pt idx="5">
                  <c:v>3954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84512"/>
        <c:axId val="91206784"/>
      </c:barChart>
      <c:catAx>
        <c:axId val="911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118451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[DTM_CMR_Baseline_Analysis_Round3_V3_ED_AA v4.xlsx]Displacement Trends!PivotTable25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'Displacement Trends'!$L$89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'Displacement Trends'!$K$90:$K$96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Trends'!$L$90:$L$96</c:f>
              <c:numCache>
                <c:formatCode>General</c:formatCode>
                <c:ptCount val="6"/>
                <c:pt idx="0">
                  <c:v>46</c:v>
                </c:pt>
                <c:pt idx="1">
                  <c:v>217</c:v>
                </c:pt>
                <c:pt idx="2">
                  <c:v>64</c:v>
                </c:pt>
                <c:pt idx="3">
                  <c:v>18</c:v>
                </c:pt>
                <c:pt idx="4">
                  <c:v>46</c:v>
                </c:pt>
                <c:pt idx="5">
                  <c:v>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'Return Trends'!$C$18</c:f>
              <c:strCache>
                <c:ptCount val="1"/>
                <c:pt idx="0">
                  <c:v>Before 2014</c:v>
                </c:pt>
              </c:strCache>
            </c:strRef>
          </c:tx>
          <c:invertIfNegative val="0"/>
          <c:cat>
            <c:strRef>
              <c:f>'Return Trends'!$D$17:$I$17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'Return Trends'!$D$18:$I$18</c:f>
              <c:numCache>
                <c:formatCode>#,##0</c:formatCode>
                <c:ptCount val="6"/>
                <c:pt idx="0">
                  <c:v>0</c:v>
                </c:pt>
                <c:pt idx="1">
                  <c:v>490</c:v>
                </c:pt>
                <c:pt idx="2">
                  <c:v>5605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'Return Trends'!$C$19</c:f>
              <c:strCache>
                <c:ptCount val="1"/>
                <c:pt idx="0">
                  <c:v>In 2014</c:v>
                </c:pt>
              </c:strCache>
            </c:strRef>
          </c:tx>
          <c:invertIfNegative val="0"/>
          <c:cat>
            <c:strRef>
              <c:f>'Return Trends'!$D$17:$I$17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'Return Trends'!$D$19:$I$19</c:f>
              <c:numCache>
                <c:formatCode>#,##0</c:formatCode>
                <c:ptCount val="6"/>
                <c:pt idx="0">
                  <c:v>144</c:v>
                </c:pt>
                <c:pt idx="1">
                  <c:v>196</c:v>
                </c:pt>
                <c:pt idx="2">
                  <c:v>2420</c:v>
                </c:pt>
                <c:pt idx="3">
                  <c:v>46</c:v>
                </c:pt>
                <c:pt idx="4">
                  <c:v>0</c:v>
                </c:pt>
                <c:pt idx="5">
                  <c:v>2381</c:v>
                </c:pt>
              </c:numCache>
            </c:numRef>
          </c:val>
        </c:ser>
        <c:ser>
          <c:idx val="2"/>
          <c:order val="2"/>
          <c:tx>
            <c:strRef>
              <c:f>'Return Trends'!$C$20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'Return Trends'!$D$17:$I$17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'Return Trends'!$D$20:$I$20</c:f>
              <c:numCache>
                <c:formatCode>#,##0</c:formatCode>
                <c:ptCount val="6"/>
                <c:pt idx="0">
                  <c:v>0</c:v>
                </c:pt>
                <c:pt idx="1">
                  <c:v>16500</c:v>
                </c:pt>
                <c:pt idx="2">
                  <c:v>601</c:v>
                </c:pt>
                <c:pt idx="3">
                  <c:v>111</c:v>
                </c:pt>
                <c:pt idx="4">
                  <c:v>0</c:v>
                </c:pt>
                <c:pt idx="5">
                  <c:v>864</c:v>
                </c:pt>
              </c:numCache>
            </c:numRef>
          </c:val>
        </c:ser>
        <c:ser>
          <c:idx val="3"/>
          <c:order val="3"/>
          <c:tx>
            <c:strRef>
              <c:f>'Return Trends'!$C$21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'Return Trends'!$D$17:$I$17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'Return Trends'!$D$21:$I$21</c:f>
              <c:numCache>
                <c:formatCode>#,##0</c:formatCode>
                <c:ptCount val="6"/>
                <c:pt idx="0">
                  <c:v>24</c:v>
                </c:pt>
                <c:pt idx="1">
                  <c:v>8800</c:v>
                </c:pt>
                <c:pt idx="2">
                  <c:v>321</c:v>
                </c:pt>
                <c:pt idx="3">
                  <c:v>35</c:v>
                </c:pt>
                <c:pt idx="4">
                  <c:v>586</c:v>
                </c:pt>
                <c:pt idx="5">
                  <c:v>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752896"/>
        <c:axId val="90754432"/>
      </c:barChart>
      <c:catAx>
        <c:axId val="9075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754432"/>
        <c:crosses val="autoZero"/>
        <c:auto val="1"/>
        <c:lblAlgn val="ctr"/>
        <c:lblOffset val="100"/>
        <c:noMultiLvlLbl val="0"/>
      </c:catAx>
      <c:valAx>
        <c:axId val="90754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075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Country of Provenance of Returnees</a:t>
            </a:r>
          </a:p>
        </c:rich>
      </c:tx>
      <c:layout>
        <c:manualLayout>
          <c:xMode val="edge"/>
          <c:yMode val="edge"/>
          <c:x val="0.22465120455584656"/>
          <c:y val="1.8518518518518517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'Return Trends'!$C$44:$C$47</c:f>
              <c:strCache>
                <c:ptCount val="4"/>
                <c:pt idx="0">
                  <c:v>Nigeria</c:v>
                </c:pt>
                <c:pt idx="1">
                  <c:v>Chad</c:v>
                </c:pt>
                <c:pt idx="2">
                  <c:v>Central African Republic</c:v>
                </c:pt>
                <c:pt idx="3">
                  <c:v>Cameroon</c:v>
                </c:pt>
              </c:strCache>
            </c:strRef>
          </c:cat>
          <c:val>
            <c:numRef>
              <c:f>'Return Trends'!$D$44:$D$47</c:f>
              <c:numCache>
                <c:formatCode>#,##0</c:formatCode>
                <c:ptCount val="4"/>
                <c:pt idx="0">
                  <c:v>3848</c:v>
                </c:pt>
                <c:pt idx="1">
                  <c:v>1814</c:v>
                </c:pt>
                <c:pt idx="2">
                  <c:v>37</c:v>
                </c:pt>
                <c:pt idx="3">
                  <c:v>34134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892388451443566"/>
          <c:y val="0.19822834645669291"/>
          <c:w val="0.27440944881889762"/>
          <c:h val="0.60354330708661419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415636</xdr:colOff>
      <xdr:row>58</xdr:row>
      <xdr:rowOff>91539</xdr:rowOff>
    </xdr:from>
    <xdr:to>
      <xdr:col>18</xdr:col>
      <xdr:colOff>239981</xdr:colOff>
      <xdr:row>71</xdr:row>
      <xdr:rowOff>104321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523256</xdr:colOff>
      <xdr:row>47</xdr:row>
      <xdr:rowOff>39586</xdr:rowOff>
    </xdr:from>
    <xdr:to>
      <xdr:col>13</xdr:col>
      <xdr:colOff>531915</xdr:colOff>
      <xdr:row>57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179292</xdr:colOff>
      <xdr:row>30</xdr:row>
      <xdr:rowOff>162003</xdr:rowOff>
    </xdr:from>
    <xdr:to>
      <xdr:col>14</xdr:col>
      <xdr:colOff>693965</xdr:colOff>
      <xdr:row>48</xdr:row>
      <xdr:rowOff>189697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89647</xdr:colOff>
      <xdr:row>59</xdr:row>
      <xdr:rowOff>11206</xdr:rowOff>
    </xdr:from>
    <xdr:to>
      <xdr:col>14</xdr:col>
      <xdr:colOff>707572</xdr:colOff>
      <xdr:row>73</xdr:row>
      <xdr:rowOff>87406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190499</xdr:colOff>
      <xdr:row>13</xdr:row>
      <xdr:rowOff>11205</xdr:rowOff>
    </xdr:from>
    <xdr:to>
      <xdr:col>6</xdr:col>
      <xdr:colOff>246529</xdr:colOff>
      <xdr:row>26</xdr:row>
      <xdr:rowOff>122142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201705</xdr:colOff>
      <xdr:row>12</xdr:row>
      <xdr:rowOff>113179</xdr:rowOff>
    </xdr:from>
    <xdr:to>
      <xdr:col>14</xdr:col>
      <xdr:colOff>627528</xdr:colOff>
      <xdr:row>26</xdr:row>
      <xdr:rowOff>112059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149679</xdr:colOff>
      <xdr:row>86</xdr:row>
      <xdr:rowOff>54429</xdr:rowOff>
    </xdr:from>
    <xdr:to>
      <xdr:col>14</xdr:col>
      <xdr:colOff>680358</xdr:colOff>
      <xdr:row>97</xdr:row>
      <xdr:rowOff>13608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351456</xdr:colOff>
      <xdr:row>3</xdr:row>
      <xdr:rowOff>1</xdr:rowOff>
    </xdr:from>
    <xdr:to>
      <xdr:col>16</xdr:col>
      <xdr:colOff>779319</xdr:colOff>
      <xdr:row>12</xdr:row>
      <xdr:rowOff>173183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39585</xdr:colOff>
      <xdr:row>48</xdr:row>
      <xdr:rowOff>148069</xdr:rowOff>
    </xdr:from>
    <xdr:to>
      <xdr:col>4</xdr:col>
      <xdr:colOff>207818</xdr:colOff>
      <xdr:row>62</xdr:row>
      <xdr:rowOff>155863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133600</xdr:colOff>
      <xdr:row>48</xdr:row>
      <xdr:rowOff>165760</xdr:rowOff>
    </xdr:from>
    <xdr:to>
      <xdr:col>8</xdr:col>
      <xdr:colOff>658092</xdr:colOff>
      <xdr:row>62</xdr:row>
      <xdr:rowOff>155864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363682</xdr:colOff>
      <xdr:row>13</xdr:row>
      <xdr:rowOff>17318</xdr:rowOff>
    </xdr:from>
    <xdr:to>
      <xdr:col>16</xdr:col>
      <xdr:colOff>796636</xdr:colOff>
      <xdr:row>22</xdr:row>
      <xdr:rowOff>161976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176893</xdr:rowOff>
    </xdr:from>
    <xdr:to>
      <xdr:col>6</xdr:col>
      <xdr:colOff>0</xdr:colOff>
      <xdr:row>32</xdr:row>
      <xdr:rowOff>72119</xdr:rowOff>
    </xdr:to>
    <xdr:graphicFrame macro="">
      <xdr:nvGraphicFramePr>
        <xdr:cNvPr id="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12</xdr:row>
      <xdr:rowOff>13607</xdr:rowOff>
    </xdr:from>
    <xdr:to>
      <xdr:col>13</xdr:col>
      <xdr:colOff>8164</xdr:colOff>
      <xdr:row>32</xdr:row>
      <xdr:rowOff>67354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390525</xdr:colOff>
      <xdr:row>12</xdr:row>
      <xdr:rowOff>54427</xdr:rowOff>
    </xdr:from>
    <xdr:to>
      <xdr:col>21</xdr:col>
      <xdr:colOff>204107</xdr:colOff>
      <xdr:row>27</xdr:row>
      <xdr:rowOff>48984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32818</xdr:colOff>
      <xdr:row>27</xdr:row>
      <xdr:rowOff>55230</xdr:rowOff>
    </xdr:from>
    <xdr:to>
      <xdr:col>15</xdr:col>
      <xdr:colOff>54429</xdr:colOff>
      <xdr:row>40</xdr:row>
      <xdr:rowOff>59992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106456</xdr:colOff>
      <xdr:row>68</xdr:row>
      <xdr:rowOff>49625</xdr:rowOff>
    </xdr:from>
    <xdr:to>
      <xdr:col>14</xdr:col>
      <xdr:colOff>893269</xdr:colOff>
      <xdr:row>85</xdr:row>
      <xdr:rowOff>116860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289316</xdr:colOff>
      <xdr:row>66</xdr:row>
      <xdr:rowOff>2136</xdr:rowOff>
    </xdr:from>
    <xdr:to>
      <xdr:col>6</xdr:col>
      <xdr:colOff>1489364</xdr:colOff>
      <xdr:row>84</xdr:row>
      <xdr:rowOff>51955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17318</xdr:colOff>
      <xdr:row>87</xdr:row>
      <xdr:rowOff>143740</xdr:rowOff>
    </xdr:from>
    <xdr:to>
      <xdr:col>15</xdr:col>
      <xdr:colOff>51954</xdr:colOff>
      <xdr:row>99</xdr:row>
      <xdr:rowOff>138545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habdi" refreshedDate="42490.765060648147" createdVersion="4" refreshedVersion="4" minRefreshableVersion="3" recordCount="39">
  <cacheSource type="worksheet">
    <worksheetSource name="b2f_sommaire_1" sheet="Total_data"/>
  </cacheSource>
  <cacheFields count="30">
    <cacheField name="Region" numFmtId="0">
      <sharedItems/>
    </cacheField>
    <cacheField name="ADM1_Code" numFmtId="0">
      <sharedItems/>
    </cacheField>
    <cacheField name="Departement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Arrondissement" numFmtId="0">
      <sharedItems/>
    </cacheField>
    <cacheField name="ADM3_Code" numFmtId="0">
      <sharedItems/>
    </cacheField>
    <cacheField name="IDP" numFmtId="0">
      <sharedItems/>
    </cacheField>
    <cacheField name="HH_IDP" numFmtId="0">
      <sharedItems containsString="0" containsBlank="1" containsNumber="1" containsInteger="1" minValue="4" maxValue="7340" count="36">
        <n v="71"/>
        <n v="40"/>
        <n v="386"/>
        <m/>
        <n v="10"/>
        <n v="20"/>
        <n v="17"/>
        <n v="333"/>
        <n v="467"/>
        <n v="984"/>
        <n v="982"/>
        <n v="1715"/>
        <n v="3777"/>
        <n v="2024"/>
        <n v="2270"/>
        <n v="7340"/>
        <n v="1167"/>
        <n v="1486"/>
        <n v="523"/>
        <n v="239"/>
        <n v="67"/>
        <n v="359"/>
        <n v="230"/>
        <n v="4"/>
        <n v="37"/>
        <n v="9"/>
        <n v="1280"/>
        <n v="3864"/>
        <n v="772"/>
        <n v="603"/>
        <n v="820"/>
        <n v="108"/>
        <n v="1082"/>
        <n v="1033"/>
        <n v="102"/>
        <n v="18"/>
      </sharedItems>
    </cacheField>
    <cacheField name="Ind_IDP" numFmtId="0">
      <sharedItems containsString="0" containsBlank="1" containsNumber="1" containsInteger="1" minValue="31" maxValue="36700" count="36">
        <n v="365"/>
        <n v="268"/>
        <n v="2696"/>
        <m/>
        <n v="57"/>
        <n v="105"/>
        <n v="117"/>
        <n v="1665"/>
        <n v="2229"/>
        <n v="6888"/>
        <n v="6933"/>
        <n v="8575"/>
        <n v="18885"/>
        <n v="10120"/>
        <n v="11350"/>
        <n v="36700"/>
        <n v="6920"/>
        <n v="11613"/>
        <n v="2960"/>
        <n v="1455"/>
        <n v="359"/>
        <n v="1795"/>
        <n v="1252"/>
        <n v="31"/>
        <n v="182"/>
        <n v="45"/>
        <n v="6400"/>
        <n v="23556"/>
        <n v="3857"/>
        <n v="4090"/>
        <n v="4099"/>
        <n v="749"/>
        <n v="8541"/>
        <n v="5165"/>
        <n v="487"/>
        <n v="99"/>
      </sharedItems>
    </cacheField>
    <cacheField name="Unregistered_Refugees" numFmtId="0">
      <sharedItems/>
    </cacheField>
    <cacheField name="HH_Unregistered_Refugees" numFmtId="0">
      <sharedItems containsString="0" containsBlank="1" containsNumber="1" containsInteger="1" minValue="1" maxValue="1000"/>
    </cacheField>
    <cacheField name="Ind_Unregistered_Refugees" numFmtId="3">
      <sharedItems containsString="0" containsBlank="1" containsNumber="1" containsInteger="1" minValue="2" maxValue="5000" count="9">
        <m/>
        <n v="1880"/>
        <n v="5000"/>
        <n v="605"/>
        <n v="4"/>
        <n v="235"/>
        <n v="10"/>
        <n v="2"/>
        <n v="515"/>
      </sharedItems>
    </cacheField>
    <cacheField name="Returnees" numFmtId="3">
      <sharedItems/>
    </cacheField>
    <cacheField name="HH_Returnees" numFmtId="0">
      <sharedItems containsString="0" containsBlank="1" containsNumber="1" containsInteger="1" minValue="1" maxValue="2028"/>
    </cacheField>
    <cacheField name="Ind_Returnees" numFmtId="0">
      <sharedItems containsString="0" containsBlank="1" containsNumber="1" containsInteger="1" minValue="13" maxValue="10140" count="28">
        <m/>
        <n v="168"/>
        <n v="75"/>
        <n v="406"/>
        <n v="490"/>
        <n v="8050"/>
        <n v="10140"/>
        <n v="5300"/>
        <n v="1525"/>
        <n v="6350"/>
        <n v="125"/>
        <n v="185"/>
        <n v="17"/>
        <n v="1495"/>
        <n v="775"/>
        <n v="13"/>
        <n v="100"/>
        <n v="23"/>
        <n v="36"/>
        <n v="20"/>
        <n v="449"/>
        <n v="137"/>
        <n v="1500"/>
        <n v="2025"/>
        <n v="63"/>
        <n v="205"/>
        <n v="122"/>
        <n v="39"/>
      </sharedItems>
    </cacheField>
    <cacheField name="Population_Left" numFmtId="0">
      <sharedItems/>
    </cacheField>
    <cacheField name="HH_Population_Left" numFmtId="0">
      <sharedItems containsString="0" containsBlank="1" containsNumber="1" containsInteger="1" minValue="2" maxValue="3790"/>
    </cacheField>
    <cacheField name="Ind_Population_Left" numFmtId="0">
      <sharedItems containsString="0" containsBlank="1" containsNumber="1" containsInteger="1" minValue="12" maxValue="23107"/>
    </cacheField>
    <cacheField name="Spontaneous_Shelter" numFmtId="0">
      <sharedItems containsBlank="1"/>
    </cacheField>
    <cacheField name="HH_Spontaneous_Shelter" numFmtId="0">
      <sharedItems containsString="0" containsBlank="1" containsNumber="1" containsInteger="1" minValue="67" maxValue="2088"/>
    </cacheField>
    <cacheField name="Collective_Shelter" numFmtId="0">
      <sharedItems containsBlank="1"/>
    </cacheField>
    <cacheField name="HH_Collective Shelter" numFmtId="0">
      <sharedItems containsString="0" containsBlank="1" containsNumber="1" containsInteger="1" minValue="105" maxValue="850"/>
    </cacheField>
    <cacheField name="Host Family_Shelter" numFmtId="0">
      <sharedItems containsBlank="1"/>
    </cacheField>
    <cacheField name="HH_Host Family_Shelter" numFmtId="0">
      <sharedItems containsString="0" containsBlank="1" containsNumber="1" containsInteger="1" minValue="4" maxValue="7060"/>
    </cacheField>
    <cacheField name="Open_Air_Shelter" numFmtId="0">
      <sharedItems containsBlank="1"/>
    </cacheField>
    <cacheField name="HH_Open_Air_Shelter" numFmtId="0">
      <sharedItems containsString="0" containsBlank="1" containsNumber="1" containsInteger="1" minValue="20" maxValue="373"/>
    </cacheField>
    <cacheField name="Rented_Shelter" numFmtId="0">
      <sharedItems containsBlank="1"/>
    </cacheField>
    <cacheField name="HH_Rented_Shelter" numFmtId="0">
      <sharedItems containsString="0" containsBlank="1" containsNumber="1" containsInteger="1" minValue="2" maxValue="1015"/>
    </cacheField>
    <cacheField name="HH_Repatriated" numFmtId="0">
      <sharedItems containsString="0" containsBlank="1" containsNumber="1" containsInteger="1" minValue="7" maxValue="4173"/>
    </cacheField>
    <cacheField name="Ind_Repatriated" numFmtId="0">
      <sharedItems containsString="0" containsBlank="1" containsNumber="1" containsInteger="1" minValue="40" maxValue="31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habdi" refreshedDate="42492.809688541667" createdVersion="4" refreshedVersion="4" minRefreshableVersion="3" recordCount="121">
  <cacheSource type="worksheet">
    <worksheetSource name="idp_ref_ret_avril2016" sheet="Displacement_Periods"/>
  </cacheSource>
  <cacheFields count="25">
    <cacheField name="Admin1" numFmtId="0">
      <sharedItems/>
    </cacheField>
    <cacheField name="Admin1_Code" numFmtId="0">
      <sharedItems/>
    </cacheField>
    <cacheField name="Admin2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in2_code" numFmtId="0">
      <sharedItems/>
    </cacheField>
    <cacheField name="Evaluation_admin2_long" numFmtId="0">
      <sharedItems/>
    </cacheField>
    <cacheField name="Evaluation_admin2_lat" numFmtId="0">
      <sharedItems/>
    </cacheField>
    <cacheField name="Admin3" numFmtId="0">
      <sharedItems count="38">
        <s v="Bogo"/>
        <s v="Gazawa"/>
        <s v="Maroua II"/>
        <s v="Maroua III"/>
        <s v="Meri"/>
        <s v="Pette"/>
        <s v="Blangoua"/>
        <s v="Darak"/>
        <s v="Fotokol"/>
        <s v="Goulfey"/>
        <s v="Hile-Alifa"/>
        <s v="Kousseri"/>
        <s v="Logone-Birni"/>
        <s v="Makary"/>
        <s v="Waza"/>
        <s v="Zina"/>
        <s v="Gobo"/>
        <s v="Gueme"/>
        <s v="Guere"/>
        <s v="Kai-Kai"/>
        <s v="Maga"/>
        <s v="Yagoua"/>
        <s v="Guidiguis"/>
        <s v="Mindif"/>
        <s v="Moutourwa"/>
        <s v="Kolofata"/>
        <s v="Mora"/>
        <s v="Tokombere"/>
        <s v="Bourha"/>
        <s v="Hina"/>
        <s v="Koza"/>
        <s v="Mogode"/>
        <s v="Mokolo"/>
        <s v="Mozogo"/>
        <s v="Soulede_Roua"/>
        <s v="Moulvoudaye"/>
        <s v="Kaele" u="1"/>
        <s v="Dargala" u="1"/>
      </sharedItems>
    </cacheField>
    <cacheField name="Admin3_code" numFmtId="0">
      <sharedItems/>
    </cacheField>
    <cacheField name="Evaluation_admin3_long" numFmtId="3">
      <sharedItems/>
    </cacheField>
    <cacheField name="Evaluation_admin3_lat" numFmtId="3">
      <sharedItems/>
    </cacheField>
    <cacheField name="Displacement Type" numFmtId="0">
      <sharedItems count="3">
        <s v="IDP"/>
        <s v="Unregistered Refugees"/>
        <s v="Returnees" u="1"/>
      </sharedItems>
    </cacheField>
    <cacheField name="Period" numFmtId="0">
      <sharedItems count="6">
        <s v="January_August_2015"/>
        <s v="In_2014"/>
        <s v="September_November_2015"/>
        <s v="Before_2014"/>
        <s v="December_2015_February_2016"/>
        <s v="March_April_2016"/>
      </sharedItems>
    </cacheField>
    <cacheField name="HH" numFmtId="3">
      <sharedItems containsSemiMixedTypes="0" containsString="0" containsNumber="1" containsInteger="1" minValue="1" maxValue="3289"/>
    </cacheField>
    <cacheField name="Ind." numFmtId="3">
      <sharedItems containsSemiMixedTypes="0" containsString="0" containsNumber="1" containsInteger="1" minValue="2" maxValue="16478"/>
    </cacheField>
    <cacheField name="Displacement Reason" numFmtId="0">
      <sharedItems containsBlank="1" count="4">
        <s v="Conflict_ISWA"/>
        <s v="Floods_Natural_Disasters"/>
        <s v="Other"/>
        <m u="1"/>
      </sharedItems>
    </cacheField>
    <cacheField name="Other Reason" numFmtId="0">
      <sharedItems containsNonDate="0" containsString="0" containsBlank="1"/>
    </cacheField>
    <cacheField name="Provenance" numFmtId="0">
      <sharedItems/>
    </cacheField>
    <cacheField name="Provenance_admin0" numFmtId="0">
      <sharedItems/>
    </cacheField>
    <cacheField name="Provenance_admin0_name" numFmtId="0">
      <sharedItems/>
    </cacheField>
    <cacheField name="Provenance_admin1" numFmtId="0">
      <sharedItems/>
    </cacheField>
    <cacheField name="Provenance_admin1_name" numFmtId="0">
      <sharedItems/>
    </cacheField>
    <cacheField name="Provenance_admin2" numFmtId="0">
      <sharedItems containsBlank="1"/>
    </cacheField>
    <cacheField name="Provenance_admin2_name" numFmtId="0">
      <sharedItems containsBlank="1"/>
    </cacheField>
    <cacheField name="Provenance_admin3" numFmtId="0">
      <sharedItems containsBlank="1"/>
    </cacheField>
    <cacheField name="Provenance_admin3_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habdi" refreshedDate="42492.809804861114" createdVersion="4" refreshedVersion="4" minRefreshableVersion="3" recordCount="39">
  <cacheSource type="worksheet">
    <worksheetSource name="b2f_sommaire_1" sheet="Dashboard"/>
  </cacheSource>
  <cacheFields count="30">
    <cacheField name="Region" numFmtId="0">
      <sharedItems/>
    </cacheField>
    <cacheField name="ADM1_Code" numFmtId="0">
      <sharedItems/>
    </cacheField>
    <cacheField name="Department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Arrondissement" numFmtId="0">
      <sharedItems/>
    </cacheField>
    <cacheField name="ADM3_Code" numFmtId="0">
      <sharedItems/>
    </cacheField>
    <cacheField name="IDP" numFmtId="0">
      <sharedItems/>
    </cacheField>
    <cacheField name="HH_IDP" numFmtId="0">
      <sharedItems containsString="0" containsBlank="1" containsNumber="1" containsInteger="1" minValue="4" maxValue="7340"/>
    </cacheField>
    <cacheField name="Ind_IDP" numFmtId="0">
      <sharedItems containsString="0" containsBlank="1" containsNumber="1" containsInteger="1" minValue="31" maxValue="36700"/>
    </cacheField>
    <cacheField name="Unregistered_Refugees" numFmtId="0">
      <sharedItems/>
    </cacheField>
    <cacheField name="HH_Unregistered_Refugees" numFmtId="0">
      <sharedItems containsString="0" containsBlank="1" containsNumber="1" containsInteger="1" minValue="1" maxValue="1000"/>
    </cacheField>
    <cacheField name="Ind_Unregistered_Refugees" numFmtId="3">
      <sharedItems containsString="0" containsBlank="1" containsNumber="1" containsInteger="1" minValue="2" maxValue="5000"/>
    </cacheField>
    <cacheField name="Returnees" numFmtId="3">
      <sharedItems/>
    </cacheField>
    <cacheField name="HH_Returnees" numFmtId="0">
      <sharedItems containsString="0" containsBlank="1" containsNumber="1" containsInteger="1" minValue="1" maxValue="2028"/>
    </cacheField>
    <cacheField name="Ind_Returnees" numFmtId="0">
      <sharedItems containsString="0" containsBlank="1" containsNumber="1" containsInteger="1" minValue="13" maxValue="10140"/>
    </cacheField>
    <cacheField name="Population_Left" numFmtId="0">
      <sharedItems/>
    </cacheField>
    <cacheField name="HH_Population_Left" numFmtId="0">
      <sharedItems containsString="0" containsBlank="1" containsNumber="1" containsInteger="1" minValue="2" maxValue="3790"/>
    </cacheField>
    <cacheField name="Ind_Population_Left" numFmtId="0">
      <sharedItems containsString="0" containsBlank="1" containsNumber="1" containsInteger="1" minValue="12" maxValue="23107"/>
    </cacheField>
    <cacheField name="Spontaneous_Shelter" numFmtId="0">
      <sharedItems containsBlank="1"/>
    </cacheField>
    <cacheField name="HH_Spontaneous_Shelter" numFmtId="0">
      <sharedItems containsString="0" containsBlank="1" containsNumber="1" containsInteger="1" minValue="67" maxValue="2088"/>
    </cacheField>
    <cacheField name="Collective_Shelter" numFmtId="0">
      <sharedItems containsBlank="1"/>
    </cacheField>
    <cacheField name="HH_Collective Shelter" numFmtId="0">
      <sharedItems containsString="0" containsBlank="1" containsNumber="1" containsInteger="1" minValue="105" maxValue="850"/>
    </cacheField>
    <cacheField name="Host Family_Shelter" numFmtId="0">
      <sharedItems containsBlank="1"/>
    </cacheField>
    <cacheField name="HH_Host Family_Shelter" numFmtId="0">
      <sharedItems containsString="0" containsBlank="1" containsNumber="1" containsInteger="1" minValue="4" maxValue="7060"/>
    </cacheField>
    <cacheField name="Open_Air_Shelter" numFmtId="0">
      <sharedItems containsBlank="1"/>
    </cacheField>
    <cacheField name="HH_Open_Air_Shelter" numFmtId="0">
      <sharedItems containsString="0" containsBlank="1" containsNumber="1" containsInteger="1" minValue="20" maxValue="373"/>
    </cacheField>
    <cacheField name="Rented_Shelter" numFmtId="0">
      <sharedItems containsBlank="1"/>
    </cacheField>
    <cacheField name="HH_Rented_Shelter" numFmtId="0">
      <sharedItems containsString="0" containsBlank="1" containsNumber="1" containsInteger="1" minValue="2" maxValue="1015"/>
    </cacheField>
    <cacheField name="HH_Repatriated" numFmtId="0">
      <sharedItems containsString="0" containsBlank="1" containsNumber="1" containsInteger="1" minValue="7" maxValue="4173"/>
    </cacheField>
    <cacheField name="Ind_Repatriated" numFmtId="0">
      <sharedItems containsString="0" containsBlank="1" containsNumber="1" containsInteger="1" minValue="40" maxValue="31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habdi" refreshedDate="42492.810472453704" createdVersion="4" refreshedVersion="4" minRefreshableVersion="3" recordCount="177">
  <cacheSource type="worksheet">
    <worksheetSource ref="A1:Y178" sheet="Displacement_Periods"/>
  </cacheSource>
  <cacheFields count="25">
    <cacheField name="Admin1" numFmtId="0">
      <sharedItems/>
    </cacheField>
    <cacheField name="Admin1_Code" numFmtId="0">
      <sharedItems/>
    </cacheField>
    <cacheField name="Admin2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in2_code" numFmtId="0">
      <sharedItems/>
    </cacheField>
    <cacheField name="Evaluation_admin2_long" numFmtId="0">
      <sharedItems containsMixedTypes="1" containsNumber="1" minValue="13.784815459887" maxValue="15.1673049098147"/>
    </cacheField>
    <cacheField name="Evaluation_admin2_lat" numFmtId="0">
      <sharedItems containsMixedTypes="1" containsNumber="1" minValue="10.5022992912047" maxValue="12.0078307949001"/>
    </cacheField>
    <cacheField name="Admin3" numFmtId="0">
      <sharedItems count="38">
        <s v="Bogo"/>
        <s v="Gazawa"/>
        <s v="Maroua II"/>
        <s v="Maroua III"/>
        <s v="Meri"/>
        <s v="Pette"/>
        <s v="Blangoua"/>
        <s v="Darak"/>
        <s v="Fotokol"/>
        <s v="Goulfey"/>
        <s v="Hile-Alifa"/>
        <s v="Kousseri"/>
        <s v="Logone-Birni"/>
        <s v="Makary"/>
        <s v="Waza"/>
        <s v="Zina"/>
        <s v="Gobo"/>
        <s v="Gueme"/>
        <s v="Guere"/>
        <s v="Kai-Kai"/>
        <s v="Maga"/>
        <s v="Yagoua"/>
        <s v="Guidiguis"/>
        <s v="Mindif"/>
        <s v="Moutourwa"/>
        <s v="Kolofata"/>
        <s v="Mora"/>
        <s v="Tokombere"/>
        <s v="Bourha"/>
        <s v="Hina"/>
        <s v="Koza"/>
        <s v="Mogode"/>
        <s v="Mokolo"/>
        <s v="Mozogo"/>
        <s v="Soulede_Roua"/>
        <s v="Moulvoudaye"/>
        <s v="Dargala"/>
        <s v="Kaele"/>
      </sharedItems>
    </cacheField>
    <cacheField name="Admin3_code" numFmtId="0">
      <sharedItems/>
    </cacheField>
    <cacheField name="Evaluation_admin3_long" numFmtId="0">
      <sharedItems containsMixedTypes="1" containsNumber="1" minValue="13.633551602562299" maxValue="15.31"/>
    </cacheField>
    <cacheField name="Evaluation_admin3_lat" numFmtId="0">
      <sharedItems containsMixedTypes="1" containsNumber="1" minValue="10.09" maxValue="12.735839028901699"/>
    </cacheField>
    <cacheField name="Displacement Type" numFmtId="0">
      <sharedItems count="3">
        <s v="IDP"/>
        <s v="Unregistered Refugees"/>
        <s v="Returnees"/>
      </sharedItems>
    </cacheField>
    <cacheField name="Period" numFmtId="0">
      <sharedItems count="6">
        <s v="January_August_2015"/>
        <s v="In_2014"/>
        <s v="September_November_2015"/>
        <s v="Before_2014"/>
        <s v="December_2015_February_2016"/>
        <s v="March_April_2016"/>
      </sharedItems>
    </cacheField>
    <cacheField name="HH" numFmtId="0">
      <sharedItems containsSemiMixedTypes="0" containsString="0" containsNumber="1" containsInteger="1" minValue="1" maxValue="3289"/>
    </cacheField>
    <cacheField name="Ind." numFmtId="0">
      <sharedItems containsSemiMixedTypes="0" containsString="0" containsNumber="1" containsInteger="1" minValue="2" maxValue="16478"/>
    </cacheField>
    <cacheField name="Displacement Reason" numFmtId="0">
      <sharedItems containsBlank="1"/>
    </cacheField>
    <cacheField name="Other Reason" numFmtId="0">
      <sharedItems containsNonDate="0" containsString="0" containsBlank="1"/>
    </cacheField>
    <cacheField name="Provenance" numFmtId="0">
      <sharedItems/>
    </cacheField>
    <cacheField name="Provenance_admin0" numFmtId="0">
      <sharedItems/>
    </cacheField>
    <cacheField name="Provenance_admin0_name" numFmtId="0">
      <sharedItems containsBlank="1"/>
    </cacheField>
    <cacheField name="Provenance_admin1" numFmtId="0">
      <sharedItems/>
    </cacheField>
    <cacheField name="Provenance_admin1_name" numFmtId="0">
      <sharedItems containsBlank="1"/>
    </cacheField>
    <cacheField name="Provenance_admin2" numFmtId="0">
      <sharedItems containsBlank="1"/>
    </cacheField>
    <cacheField name="Provenance_admin2_name" numFmtId="0">
      <sharedItems containsBlank="1"/>
    </cacheField>
    <cacheField name="Provenance_admin3" numFmtId="0">
      <sharedItems containsBlank="1"/>
    </cacheField>
    <cacheField name="Provenance_admin3_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habdi" refreshedDate="42493.689339699071" createdVersion="4" refreshedVersion="4" minRefreshableVersion="3" recordCount="177">
  <cacheSource type="worksheet">
    <worksheetSource ref="A1:Y178" sheet="Total_data"/>
  </cacheSource>
  <cacheFields count="25">
    <cacheField name="Admin1" numFmtId="0">
      <sharedItems/>
    </cacheField>
    <cacheField name="Admin1_Code" numFmtId="0">
      <sharedItems/>
    </cacheField>
    <cacheField name="adm2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evaluation_adm2_long" numFmtId="0">
      <sharedItems containsMixedTypes="1" containsNumber="1" minValue="13.784815459887" maxValue="15.1673049098147"/>
    </cacheField>
    <cacheField name="evaluation_adm2_lat" numFmtId="0">
      <sharedItems containsMixedTypes="1" containsNumber="1" minValue="10.5022992912047" maxValue="12.0078307949001"/>
    </cacheField>
    <cacheField name="adm3" numFmtId="0">
      <sharedItems count="38">
        <s v="Bogo"/>
        <s v="Gazawa"/>
        <s v="Maroua II"/>
        <s v="Maroua III"/>
        <s v="Meri"/>
        <s v="Pette"/>
        <s v="Blangoua"/>
        <s v="Darak"/>
        <s v="Fotokol"/>
        <s v="Goulfey"/>
        <s v="Hile-Alifa"/>
        <s v="Kousseri"/>
        <s v="Logone-Birni"/>
        <s v="Makary"/>
        <s v="Waza"/>
        <s v="Zina"/>
        <s v="Gobo"/>
        <s v="Gueme"/>
        <s v="Guere"/>
        <s v="Kai-Kai"/>
        <s v="Maga"/>
        <s v="Yagoua"/>
        <s v="Guidiguis"/>
        <s v="Mindif"/>
        <s v="Moutourwa"/>
        <s v="Kolofata"/>
        <s v="Mora"/>
        <s v="Tokombere"/>
        <s v="Bourha"/>
        <s v="Hina"/>
        <s v="Koza"/>
        <s v="Mogode"/>
        <s v="Mokolo"/>
        <s v="Mozogo"/>
        <s v="Soulede_Roua"/>
        <s v="Moulvoudaye"/>
        <s v="Dargala"/>
        <s v="Kaele"/>
      </sharedItems>
    </cacheField>
    <cacheField name="adm3_code" numFmtId="0">
      <sharedItems/>
    </cacheField>
    <cacheField name="evaluation_adm3_long" numFmtId="0">
      <sharedItems containsMixedTypes="1" containsNumber="1" minValue="13.633551602562299" maxValue="15.31"/>
    </cacheField>
    <cacheField name="evaluation_adm3_lat" numFmtId="0">
      <sharedItems containsMixedTypes="1" containsNumber="1" minValue="10.09" maxValue="12.735839028901699"/>
    </cacheField>
    <cacheField name="Displacement" numFmtId="0">
      <sharedItems count="3">
        <s v="IDP"/>
        <s v="Unregistered Refugees"/>
        <s v="Returnees"/>
      </sharedItems>
    </cacheField>
    <cacheField name="Period" numFmtId="0">
      <sharedItems count="6">
        <s v="January_August_2015"/>
        <s v="In_2014"/>
        <s v="September_November_2015"/>
        <s v="Before_2014"/>
        <s v="December_2015_February_2016"/>
        <s v="March_April_2016"/>
      </sharedItems>
    </cacheField>
    <cacheField name="HH" numFmtId="0">
      <sharedItems containsSemiMixedTypes="0" containsString="0" containsNumber="1" containsInteger="1" minValue="1" maxValue="3289"/>
    </cacheField>
    <cacheField name="Ind" numFmtId="0">
      <sharedItems containsSemiMixedTypes="0" containsString="0" containsNumber="1" containsInteger="1" minValue="2" maxValue="16478" count="156">
        <n v="57"/>
        <n v="90"/>
        <n v="27"/>
        <n v="128"/>
        <n v="142"/>
        <n v="36"/>
        <n v="151"/>
        <n v="178"/>
        <n v="105"/>
        <n v="2696"/>
        <n v="1783"/>
        <n v="2274"/>
        <n v="2831"/>
        <n v="2520"/>
        <n v="1485"/>
        <n v="1930"/>
        <n v="3140"/>
        <n v="1045"/>
        <n v="350"/>
        <n v="3625"/>
        <n v="1340"/>
        <n v="1000"/>
        <n v="5035"/>
        <n v="994"/>
        <n v="635"/>
        <n v="600"/>
        <n v="1282"/>
        <n v="602"/>
        <n v="3476"/>
        <n v="1560"/>
        <n v="4661"/>
        <n v="12128"/>
        <n v="2096"/>
        <n v="2277"/>
        <n v="664"/>
        <n v="70"/>
        <n v="3481"/>
        <n v="441"/>
        <n v="1700"/>
        <n v="13672"/>
        <n v="3850"/>
        <n v="16478"/>
        <n v="1645"/>
        <n v="20"/>
        <n v="8575"/>
        <n v="569"/>
        <n v="245"/>
        <n v="438"/>
        <n v="720"/>
        <n v="500"/>
        <n v="225"/>
        <n v="10"/>
        <n v="1795"/>
        <n v="95"/>
        <n v="275"/>
        <n v="2321"/>
        <n v="8922"/>
        <n v="2522"/>
        <n v="375"/>
        <n v="63"/>
        <n v="359"/>
        <n v="19"/>
        <n v="12"/>
        <n v="30"/>
        <n v="15"/>
        <n v="60"/>
        <n v="97"/>
        <n v="25"/>
        <n v="1438"/>
        <n v="800"/>
        <n v="1712"/>
        <n v="750"/>
        <n v="432"/>
        <n v="173"/>
        <n v="1680"/>
        <n v="738"/>
        <n v="11106"/>
        <n v="9427"/>
        <n v="78"/>
        <n v="168"/>
        <n v="496"/>
        <n v="3016"/>
        <n v="99"/>
        <n v="17"/>
        <n v="82"/>
        <n v="318"/>
        <n v="412"/>
        <n v="5354"/>
        <n v="3000"/>
        <n v="159"/>
        <n v="423"/>
        <n v="1465"/>
        <n v="1050"/>
        <n v="1161"/>
        <n v="1039"/>
        <n v="522"/>
        <n v="2538"/>
        <n v="235"/>
        <n v="530"/>
        <n v="1180"/>
        <n v="3220"/>
        <n v="320"/>
        <n v="147"/>
        <n v="1850"/>
        <n v="1705"/>
        <n v="1445"/>
        <n v="525"/>
        <n v="1355"/>
        <n v="125"/>
        <n v="110"/>
        <n v="605"/>
        <n v="4"/>
        <n v="2"/>
        <n v="122"/>
        <n v="193"/>
        <n v="200"/>
        <n v="24"/>
        <n v="144"/>
        <n v="3500"/>
        <n v="2390"/>
        <n v="4250"/>
        <n v="1525"/>
        <n v="490"/>
        <n v="5300"/>
        <n v="75"/>
        <n v="8050"/>
        <n v="325"/>
        <n v="130"/>
        <n v="164"/>
        <n v="156"/>
        <n v="2020"/>
        <n v="4060"/>
        <n v="65"/>
        <n v="205"/>
        <n v="13"/>
        <n v="26"/>
        <n v="55"/>
        <n v="23"/>
        <n v="179"/>
        <n v="270"/>
        <n v="137"/>
        <n v="18"/>
        <n v="9"/>
        <n v="355"/>
        <n v="254"/>
        <n v="185"/>
        <n v="100"/>
        <n v="165"/>
        <n v="2025"/>
        <n v="43"/>
        <n v="49"/>
        <n v="196"/>
        <n v="210"/>
        <n v="1495"/>
        <n v="153"/>
        <n v="50"/>
      </sharedItems>
    </cacheField>
    <cacheField name="Reason" numFmtId="0">
      <sharedItems containsBlank="1"/>
    </cacheField>
    <cacheField name="Other_Reason" numFmtId="0">
      <sharedItems containsBlank="1"/>
    </cacheField>
    <cacheField name="Provenance" numFmtId="0">
      <sharedItems/>
    </cacheField>
    <cacheField name="Provenance_adm0" numFmtId="0">
      <sharedItems count="4">
        <s v="CMR"/>
        <s v="NGA"/>
        <s v="TCD"/>
        <s v="CAF"/>
      </sharedItems>
    </cacheField>
    <cacheField name="Provenance_adm0_name" numFmtId="0">
      <sharedItems containsBlank="1" count="5">
        <s v="Cameroon"/>
        <s v="Nigeria"/>
        <s v="Chad"/>
        <s v="Centrafrican Republic"/>
        <m/>
      </sharedItems>
    </cacheField>
    <cacheField name="Provenance_adm1" numFmtId="0">
      <sharedItems/>
    </cacheField>
    <cacheField name="Provenance_adm1_name" numFmtId="0">
      <sharedItems containsBlank="1"/>
    </cacheField>
    <cacheField name="Provenance_adm2" numFmtId="0">
      <sharedItems containsBlank="1"/>
    </cacheField>
    <cacheField name="Provenance_adm2_name" numFmtId="0">
      <sharedItems containsBlank="1"/>
    </cacheField>
    <cacheField name="Provenance_adm3" numFmtId="0">
      <sharedItems containsBlank="1"/>
    </cacheField>
    <cacheField name="Provenance_adm3_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habdi" refreshedDate="42493.749166435184" createdVersion="4" refreshedVersion="4" minRefreshableVersion="3" recordCount="475">
  <cacheSource type="worksheet">
    <worksheetSource name="Tableau1"/>
  </cacheSource>
  <cacheFields count="19">
    <cacheField name="Department" numFmtId="0">
      <sharedItems count="6">
        <s v="Diamare"/>
        <s v="Logone-Et-Chari"/>
        <s v="Mayo-Danay"/>
        <s v="Mayo-Kani"/>
        <s v="Mayo-Sava"/>
        <s v="Mayo-Tsanaga"/>
      </sharedItems>
    </cacheField>
    <cacheField name="Code_Department" numFmtId="0">
      <sharedItems/>
    </cacheField>
    <cacheField name="Arrondissement" numFmtId="0">
      <sharedItems/>
    </cacheField>
    <cacheField name="Code_Arrondissement" numFmtId="0">
      <sharedItems/>
    </cacheField>
    <cacheField name="Name_village" numFmtId="0">
      <sharedItems containsBlank="1"/>
    </cacheField>
    <cacheField name="Code_village" numFmtId="0">
      <sharedItems containsBlank="1"/>
    </cacheField>
    <cacheField name="Shelter type" numFmtId="0">
      <sharedItems/>
    </cacheField>
    <cacheField name="Name_site" numFmtId="0">
      <sharedItems containsBlank="1"/>
    </cacheField>
    <cacheField name="Displacement_Reason" numFmtId="0">
      <sharedItems/>
    </cacheField>
    <cacheField name="Country_of_Origin" numFmtId="0">
      <sharedItems/>
    </cacheField>
    <cacheField name="Code_Country" numFmtId="0">
      <sharedItems/>
    </cacheField>
    <cacheField name="Region_of-Origin" numFmtId="0">
      <sharedItems/>
    </cacheField>
    <cacheField name="Code_region" numFmtId="0">
      <sharedItems/>
    </cacheField>
    <cacheField name="Department_of_Origin" numFmtId="0">
      <sharedItems containsBlank="1"/>
    </cacheField>
    <cacheField name="Code_Department2" numFmtId="0">
      <sharedItems containsBlank="1"/>
    </cacheField>
    <cacheField name="Arrondissement_of_Origin" numFmtId="0">
      <sharedItems containsBlank="1"/>
    </cacheField>
    <cacheField name="Code_Arrondissement3" numFmtId="0">
      <sharedItems containsBlank="1"/>
    </cacheField>
    <cacheField name="Longitude_Village" numFmtId="0">
      <sharedItems containsString="0" containsBlank="1" containsNumber="1" minValue="13.448722999999999" maxValue="15.585614"/>
    </cacheField>
    <cacheField name="Latitude_Village" numFmtId="0">
      <sharedItems containsString="0" containsBlank="1" containsNumber="1" minValue="9.9625000000000004" maxValue="12.791289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Extrême-Nord"/>
    <s v="CMR004"/>
    <x v="0"/>
    <s v="CMR004001"/>
    <s v="Maroua III"/>
    <s v="CMR004001001"/>
    <s v="Yes"/>
    <x v="0"/>
    <x v="0"/>
    <s v="No"/>
    <m/>
    <x v="0"/>
    <s v="No"/>
    <m/>
    <x v="0"/>
    <s v="No"/>
    <m/>
    <m/>
    <s v="No"/>
    <m/>
    <s v="No"/>
    <m/>
    <s v="No"/>
    <m/>
    <s v="No"/>
    <m/>
    <s v="Yes"/>
    <n v="71"/>
    <n v="24"/>
    <n v="120"/>
  </r>
  <r>
    <s v="Extrême-Nord"/>
    <s v="CMR004"/>
    <x v="0"/>
    <s v="CMR004001"/>
    <s v="Maroua II"/>
    <s v="CMR004001002"/>
    <s v="Yes"/>
    <x v="1"/>
    <x v="1"/>
    <s v="No"/>
    <m/>
    <x v="0"/>
    <s v="No"/>
    <m/>
    <x v="0"/>
    <s v="No"/>
    <m/>
    <m/>
    <s v="No"/>
    <m/>
    <s v="No"/>
    <m/>
    <s v="No"/>
    <m/>
    <s v="No"/>
    <m/>
    <s v="Yes"/>
    <n v="40"/>
    <n v="7"/>
    <n v="40"/>
  </r>
  <r>
    <s v="Extrême-Nord"/>
    <s v="CMR004"/>
    <x v="0"/>
    <s v="CMR004001"/>
    <s v="Pette"/>
    <s v="CMR004001003"/>
    <s v="Yes"/>
    <x v="2"/>
    <x v="2"/>
    <s v="No"/>
    <m/>
    <x v="0"/>
    <s v="No"/>
    <m/>
    <x v="0"/>
    <s v="No"/>
    <m/>
    <m/>
    <s v="No"/>
    <m/>
    <s v="No"/>
    <m/>
    <s v="Yes"/>
    <n v="55"/>
    <s v="No"/>
    <m/>
    <s v="Yes"/>
    <n v="235"/>
    <m/>
    <m/>
  </r>
  <r>
    <s v="Extrême-Nord"/>
    <s v="CMR004"/>
    <x v="0"/>
    <s v="CMR004001"/>
    <s v="Dargala"/>
    <s v="CMR004001004"/>
    <s v="No"/>
    <x v="3"/>
    <x v="3"/>
    <s v="No"/>
    <m/>
    <x v="0"/>
    <s v="Yes"/>
    <n v="31"/>
    <x v="1"/>
    <s v="Yes"/>
    <n v="2"/>
    <n v="13"/>
    <s v="No"/>
    <m/>
    <s v="No"/>
    <m/>
    <s v="Yes"/>
    <n v="31"/>
    <s v="No"/>
    <m/>
    <s v="No"/>
    <m/>
    <m/>
    <m/>
  </r>
  <r>
    <s v="Extrême-Nord"/>
    <s v="CMR004"/>
    <x v="0"/>
    <s v="CMR004001"/>
    <s v="Bogo"/>
    <s v="CMR004001005"/>
    <s v="Yes"/>
    <x v="4"/>
    <x v="4"/>
    <s v="No"/>
    <m/>
    <x v="0"/>
    <s v="No"/>
    <m/>
    <x v="0"/>
    <s v="No"/>
    <m/>
    <m/>
    <s v="No"/>
    <m/>
    <s v="No"/>
    <m/>
    <s v="Yes"/>
    <n v="10"/>
    <s v="No"/>
    <m/>
    <s v="No"/>
    <m/>
    <m/>
    <m/>
  </r>
  <r>
    <s v="Extrême-Nord"/>
    <s v="CMR004"/>
    <x v="0"/>
    <s v="CMR004001"/>
    <s v="Meri"/>
    <s v="CMR004001007"/>
    <s v="Yes"/>
    <x v="5"/>
    <x v="5"/>
    <s v="No"/>
    <m/>
    <x v="0"/>
    <s v="No"/>
    <m/>
    <x v="0"/>
    <s v="No"/>
    <m/>
    <m/>
    <s v="No"/>
    <m/>
    <s v="No"/>
    <m/>
    <s v="No"/>
    <m/>
    <s v="Yes"/>
    <n v="20"/>
    <s v="No"/>
    <m/>
    <m/>
    <m/>
  </r>
  <r>
    <s v="Extrême-Nord"/>
    <s v="CMR004"/>
    <x v="0"/>
    <s v="CMR004001"/>
    <s v="Gazawa"/>
    <s v="CMR004001008"/>
    <s v="Yes"/>
    <x v="6"/>
    <x v="6"/>
    <s v="No"/>
    <m/>
    <x v="0"/>
    <s v="No"/>
    <m/>
    <x v="0"/>
    <s v="No"/>
    <m/>
    <m/>
    <s v="No"/>
    <m/>
    <s v="No"/>
    <m/>
    <s v="No"/>
    <m/>
    <s v="No"/>
    <m/>
    <s v="Yes"/>
    <n v="17"/>
    <m/>
    <m/>
  </r>
  <r>
    <s v="Extrême-Nord"/>
    <s v="CMR004"/>
    <x v="0"/>
    <s v="CMR004001"/>
    <s v="Maroua I"/>
    <s v="CMR004001009"/>
    <s v="No"/>
    <x v="3"/>
    <x v="3"/>
    <s v="No"/>
    <m/>
    <x v="0"/>
    <s v="No"/>
    <m/>
    <x v="0"/>
    <s v="No"/>
    <m/>
    <m/>
    <m/>
    <m/>
    <m/>
    <m/>
    <m/>
    <m/>
    <m/>
    <m/>
    <m/>
    <m/>
    <m/>
    <m/>
  </r>
  <r>
    <s v="Extrême-Nord"/>
    <s v="CMR004"/>
    <x v="1"/>
    <s v="CMR004002"/>
    <s v="Waza"/>
    <s v="CMR004002001"/>
    <s v="Yes"/>
    <x v="7"/>
    <x v="7"/>
    <s v="Yes"/>
    <n v="376"/>
    <x v="1"/>
    <s v="Yes"/>
    <n v="15"/>
    <x v="2"/>
    <s v="Yes"/>
    <n v="4"/>
    <n v="20"/>
    <s v="Yes"/>
    <n v="508"/>
    <s v="No"/>
    <m/>
    <s v="Yes"/>
    <n v="179"/>
    <s v="No"/>
    <m/>
    <s v="Yes"/>
    <n v="22"/>
    <m/>
    <m/>
  </r>
  <r>
    <s v="Extrême-Nord"/>
    <s v="CMR004"/>
    <x v="1"/>
    <s v="CMR004002"/>
    <s v="Goulfey"/>
    <s v="CMR004002002"/>
    <s v="Yes"/>
    <x v="8"/>
    <x v="8"/>
    <s v="No"/>
    <m/>
    <x v="0"/>
    <s v="No"/>
    <m/>
    <x v="0"/>
    <s v="No"/>
    <m/>
    <m/>
    <s v="No"/>
    <m/>
    <s v="No"/>
    <m/>
    <s v="Yes"/>
    <n v="458"/>
    <s v="No"/>
    <m/>
    <s v="Yes"/>
    <n v="9"/>
    <m/>
    <m/>
  </r>
  <r>
    <s v="Extrême-Nord"/>
    <s v="CMR004"/>
    <x v="1"/>
    <s v="CMR004002"/>
    <s v="Blangoua"/>
    <s v="CMR004002003"/>
    <s v="Yes"/>
    <x v="9"/>
    <x v="9"/>
    <s v="No"/>
    <m/>
    <x v="0"/>
    <s v="Yes"/>
    <n v="58"/>
    <x v="3"/>
    <s v="No"/>
    <m/>
    <m/>
    <s v="Yes"/>
    <n v="186"/>
    <s v="No"/>
    <m/>
    <s v="Yes"/>
    <n v="563"/>
    <s v="No"/>
    <m/>
    <s v="Yes"/>
    <n v="235"/>
    <m/>
    <m/>
  </r>
  <r>
    <s v="Extrême-Nord"/>
    <s v="CMR004"/>
    <x v="1"/>
    <s v="CMR004002"/>
    <s v="Logone-Birni"/>
    <s v="CMR004002004"/>
    <s v="Yes"/>
    <x v="10"/>
    <x v="10"/>
    <s v="No"/>
    <m/>
    <x v="0"/>
    <s v="Yes"/>
    <n v="88"/>
    <x v="4"/>
    <s v="Yes"/>
    <n v="14"/>
    <n v="77"/>
    <s v="Yes"/>
    <n v="486"/>
    <s v="No"/>
    <m/>
    <s v="Yes"/>
    <n v="496"/>
    <s v="No"/>
    <m/>
    <s v="No"/>
    <m/>
    <m/>
    <m/>
  </r>
  <r>
    <s v="Extrême-Nord"/>
    <s v="CMR004"/>
    <x v="1"/>
    <s v="CMR004002"/>
    <s v="Zina"/>
    <s v="CMR004002005"/>
    <s v="Yes"/>
    <x v="11"/>
    <x v="11"/>
    <s v="No"/>
    <m/>
    <x v="0"/>
    <s v="Yes"/>
    <n v="1610"/>
    <x v="5"/>
    <s v="Yes"/>
    <n v="105"/>
    <n v="525"/>
    <s v="No"/>
    <m/>
    <s v="No"/>
    <m/>
    <s v="Yes"/>
    <n v="1700"/>
    <s v="No"/>
    <m/>
    <s v="Yes"/>
    <n v="15"/>
    <m/>
    <m/>
  </r>
  <r>
    <s v="Extrême-Nord"/>
    <s v="CMR004"/>
    <x v="1"/>
    <s v="CMR004002"/>
    <s v="Kousseri"/>
    <s v="CMR004002006"/>
    <s v="Yes"/>
    <x v="12"/>
    <x v="12"/>
    <s v="No"/>
    <m/>
    <x v="0"/>
    <s v="No"/>
    <m/>
    <x v="0"/>
    <s v="No"/>
    <m/>
    <m/>
    <s v="No"/>
    <m/>
    <s v="No"/>
    <m/>
    <s v="Yes"/>
    <n v="2762"/>
    <s v="No"/>
    <m/>
    <s v="Yes"/>
    <n v="1015"/>
    <m/>
    <m/>
  </r>
  <r>
    <s v="Extrême-Nord"/>
    <s v="CMR004"/>
    <x v="1"/>
    <s v="CMR004002"/>
    <s v="Darak"/>
    <s v="CMR004002007"/>
    <s v="Yes"/>
    <x v="13"/>
    <x v="13"/>
    <s v="No"/>
    <m/>
    <x v="0"/>
    <s v="No"/>
    <m/>
    <x v="0"/>
    <s v="Yes"/>
    <n v="37"/>
    <n v="185"/>
    <s v="No"/>
    <m/>
    <s v="No"/>
    <m/>
    <s v="Yes"/>
    <n v="1953"/>
    <s v="No"/>
    <m/>
    <s v="Yes"/>
    <n v="71"/>
    <m/>
    <m/>
  </r>
  <r>
    <s v="Extrême-Nord"/>
    <s v="CMR004"/>
    <x v="1"/>
    <s v="CMR004002"/>
    <s v="Fotokol"/>
    <s v="CMR004002008"/>
    <s v="Yes"/>
    <x v="14"/>
    <x v="14"/>
    <s v="Yes"/>
    <n v="1000"/>
    <x v="2"/>
    <s v="Yes"/>
    <n v="2028"/>
    <x v="6"/>
    <s v="Yes"/>
    <n v="2100"/>
    <n v="10500"/>
    <s v="Yes"/>
    <n v="2088"/>
    <s v="No"/>
    <m/>
    <s v="Yes"/>
    <n v="423"/>
    <s v="Yes"/>
    <n v="224"/>
    <s v="Yes"/>
    <n v="535"/>
    <m/>
    <m/>
  </r>
  <r>
    <s v="Extrême-Nord"/>
    <s v="CMR004"/>
    <x v="1"/>
    <s v="CMR004002"/>
    <s v="Makary"/>
    <s v="CMR004002009"/>
    <s v="Yes"/>
    <x v="15"/>
    <x v="15"/>
    <s v="No"/>
    <m/>
    <x v="0"/>
    <s v="Yes"/>
    <n v="1060"/>
    <x v="7"/>
    <s v="No"/>
    <m/>
    <m/>
    <s v="Yes"/>
    <n v="280"/>
    <s v="No"/>
    <m/>
    <s v="Yes"/>
    <n v="7060"/>
    <s v="No"/>
    <m/>
    <s v="No"/>
    <m/>
    <m/>
    <m/>
  </r>
  <r>
    <s v="Extrême-Nord"/>
    <s v="CMR004"/>
    <x v="1"/>
    <s v="CMR004002"/>
    <s v="Hile-Alifa"/>
    <s v="CMR004002010"/>
    <s v="Yes"/>
    <x v="16"/>
    <x v="16"/>
    <s v="No"/>
    <m/>
    <x v="0"/>
    <s v="Yes"/>
    <n v="327"/>
    <x v="8"/>
    <s v="Yes"/>
    <n v="587"/>
    <n v="4113"/>
    <s v="No"/>
    <m/>
    <s v="No"/>
    <m/>
    <s v="Yes"/>
    <n v="1167"/>
    <s v="No"/>
    <m/>
    <s v="No"/>
    <m/>
    <m/>
    <m/>
  </r>
  <r>
    <s v="Extrême-Nord"/>
    <s v="CMR004"/>
    <x v="2"/>
    <s v="CMR004003"/>
    <s v="Kai-Kai"/>
    <s v="CMR004003001"/>
    <s v="Yes"/>
    <x v="17"/>
    <x v="17"/>
    <s v="No"/>
    <m/>
    <x v="0"/>
    <s v="Yes"/>
    <n v="1269"/>
    <x v="9"/>
    <s v="No"/>
    <m/>
    <m/>
    <s v="Yes"/>
    <n v="523"/>
    <s v="No"/>
    <m/>
    <s v="Yes"/>
    <n v="2232"/>
    <s v="No"/>
    <m/>
    <s v="No"/>
    <m/>
    <m/>
    <m/>
  </r>
  <r>
    <s v="Extrême-Nord"/>
    <s v="CMR004"/>
    <x v="2"/>
    <s v="CMR004003"/>
    <s v="Maga"/>
    <s v="CMR004003002"/>
    <s v="Yes"/>
    <x v="18"/>
    <x v="18"/>
    <s v="Yes"/>
    <n v="121"/>
    <x v="3"/>
    <s v="Yes"/>
    <n v="25"/>
    <x v="10"/>
    <s v="No"/>
    <m/>
    <m/>
    <s v="Yes"/>
    <n v="482"/>
    <s v="No"/>
    <m/>
    <s v="Yes"/>
    <n v="187"/>
    <s v="No"/>
    <m/>
    <s v="No"/>
    <m/>
    <m/>
    <m/>
  </r>
  <r>
    <s v="Extrême-Nord"/>
    <s v="CMR004"/>
    <x v="2"/>
    <s v="CMR004003"/>
    <s v="Gueme"/>
    <s v="CMR004003006"/>
    <s v="Yes"/>
    <x v="19"/>
    <x v="19"/>
    <s v="No"/>
    <m/>
    <x v="0"/>
    <s v="Yes"/>
    <n v="37"/>
    <x v="11"/>
    <s v="Yes"/>
    <n v="19"/>
    <n v="95"/>
    <s v="No"/>
    <m/>
    <s v="No"/>
    <m/>
    <s v="Yes"/>
    <n v="276"/>
    <s v="No"/>
    <m/>
    <s v="No"/>
    <m/>
    <m/>
    <m/>
  </r>
  <r>
    <s v="Extrême-Nord"/>
    <s v="CMR004"/>
    <x v="2"/>
    <s v="CMR004003"/>
    <s v="Yagoua"/>
    <s v="CMR004003009"/>
    <s v="Yes"/>
    <x v="20"/>
    <x v="20"/>
    <s v="Yes"/>
    <n v="1"/>
    <x v="4"/>
    <s v="Yes"/>
    <n v="3"/>
    <x v="12"/>
    <s v="No"/>
    <m/>
    <m/>
    <s v="Yes"/>
    <n v="67"/>
    <s v="No"/>
    <m/>
    <s v="Yes"/>
    <n v="4"/>
    <s v="No"/>
    <m/>
    <s v="No"/>
    <m/>
    <m/>
    <m/>
  </r>
  <r>
    <s v="Extrême-Nord"/>
    <s v="CMR004"/>
    <x v="2"/>
    <s v="CMR004003"/>
    <s v="Guere"/>
    <s v="CMR004003010"/>
    <s v="Yes"/>
    <x v="21"/>
    <x v="21"/>
    <s v="No"/>
    <m/>
    <x v="0"/>
    <s v="Yes"/>
    <n v="320"/>
    <x v="13"/>
    <s v="Yes"/>
    <n v="20"/>
    <n v="137"/>
    <s v="No"/>
    <m/>
    <s v="No"/>
    <m/>
    <s v="Yes"/>
    <n v="453"/>
    <s v="No"/>
    <m/>
    <s v="Yes"/>
    <n v="226"/>
    <m/>
    <m/>
  </r>
  <r>
    <s v="Extrême-Nord"/>
    <s v="CMR004"/>
    <x v="2"/>
    <s v="CMR004003"/>
    <s v="Gobo"/>
    <s v="CMR004003011"/>
    <s v="Yes"/>
    <x v="22"/>
    <x v="22"/>
    <s v="Yes"/>
    <n v="45"/>
    <x v="5"/>
    <s v="Yes"/>
    <n v="97"/>
    <x v="14"/>
    <s v="Yes"/>
    <n v="39"/>
    <n v="156"/>
    <s v="No"/>
    <m/>
    <s v="Yes"/>
    <n v="138"/>
    <s v="Yes"/>
    <n v="172"/>
    <s v="No"/>
    <m/>
    <s v="Yes"/>
    <n v="62"/>
    <n v="11"/>
    <n v="88"/>
  </r>
  <r>
    <s v="Extrême-Nord"/>
    <s v="CMR004"/>
    <x v="3"/>
    <s v="CMR004004"/>
    <s v="Guidiguis"/>
    <s v="CMR004004001"/>
    <s v="Yes"/>
    <x v="23"/>
    <x v="23"/>
    <s v="No"/>
    <m/>
    <x v="0"/>
    <s v="Yes"/>
    <n v="1"/>
    <x v="15"/>
    <s v="No"/>
    <m/>
    <m/>
    <s v="No"/>
    <m/>
    <s v="No"/>
    <m/>
    <s v="Yes"/>
    <n v="5"/>
    <s v="No"/>
    <m/>
    <s v="No"/>
    <m/>
    <m/>
    <m/>
  </r>
  <r>
    <s v="Extrême-Nord"/>
    <s v="CMR004"/>
    <x v="3"/>
    <s v="CMR004004"/>
    <s v="Moulvoudaye"/>
    <s v="CMR004004002"/>
    <s v="No"/>
    <x v="3"/>
    <x v="3"/>
    <s v="Yes"/>
    <n v="2"/>
    <x v="6"/>
    <s v="Yes"/>
    <n v="20"/>
    <x v="16"/>
    <s v="Yes"/>
    <n v="30"/>
    <n v="150"/>
    <s v="No"/>
    <m/>
    <s v="No"/>
    <m/>
    <s v="Yes"/>
    <n v="18"/>
    <s v="No"/>
    <m/>
    <s v="Yes"/>
    <n v="2"/>
    <m/>
    <m/>
  </r>
  <r>
    <s v="Extrême-Nord"/>
    <s v="CMR004"/>
    <x v="3"/>
    <s v="CMR004004"/>
    <s v="Moutourwa"/>
    <s v="CMR004004005"/>
    <s v="Yes"/>
    <x v="24"/>
    <x v="24"/>
    <s v="Yes"/>
    <n v="1"/>
    <x v="7"/>
    <s v="Yes"/>
    <n v="4"/>
    <x v="17"/>
    <s v="No"/>
    <m/>
    <m/>
    <s v="No"/>
    <m/>
    <s v="No"/>
    <m/>
    <s v="Yes"/>
    <n v="30"/>
    <s v="No"/>
    <m/>
    <s v="Yes"/>
    <n v="12"/>
    <m/>
    <m/>
  </r>
  <r>
    <s v="Extrême-Nord"/>
    <s v="CMR004"/>
    <x v="3"/>
    <s v="CMR004004"/>
    <s v="Kaele"/>
    <s v="CMR004004006"/>
    <s v="No"/>
    <x v="3"/>
    <x v="3"/>
    <s v="No"/>
    <m/>
    <x v="0"/>
    <s v="Yes"/>
    <n v="6"/>
    <x v="18"/>
    <s v="No"/>
    <m/>
    <m/>
    <s v="No"/>
    <m/>
    <s v="No"/>
    <m/>
    <s v="Yes"/>
    <n v="6"/>
    <s v="No"/>
    <m/>
    <s v="No"/>
    <m/>
    <m/>
    <m/>
  </r>
  <r>
    <s v="Extrême-Nord"/>
    <s v="CMR004"/>
    <x v="3"/>
    <s v="CMR004004"/>
    <s v="Mindif"/>
    <s v="CMR004004007"/>
    <s v="Yes"/>
    <x v="25"/>
    <x v="25"/>
    <s v="No"/>
    <m/>
    <x v="0"/>
    <s v="Yes"/>
    <n v="4"/>
    <x v="19"/>
    <s v="No"/>
    <m/>
    <m/>
    <s v="No"/>
    <m/>
    <s v="No"/>
    <m/>
    <s v="Yes"/>
    <n v="5"/>
    <s v="No"/>
    <m/>
    <s v="Yes"/>
    <n v="4"/>
    <m/>
    <m/>
  </r>
  <r>
    <s v="Extrême-Nord"/>
    <s v="CMR004"/>
    <x v="4"/>
    <s v="CMR004005"/>
    <s v="Kolofata"/>
    <s v="CMR004005001"/>
    <s v="Yes"/>
    <x v="26"/>
    <x v="26"/>
    <s v="Yes"/>
    <n v="104"/>
    <x v="8"/>
    <s v="No"/>
    <m/>
    <x v="0"/>
    <s v="No"/>
    <m/>
    <m/>
    <s v="Yes"/>
    <n v="1277"/>
    <s v="Yes"/>
    <n v="850"/>
    <s v="Yes"/>
    <n v="2572"/>
    <s v="Yes"/>
    <n v="373"/>
    <s v="Yes"/>
    <n v="301"/>
    <n v="4173"/>
    <n v="31160"/>
  </r>
  <r>
    <s v="Extrême-Nord"/>
    <s v="CMR004"/>
    <x v="4"/>
    <s v="CMR004005"/>
    <s v="Mora"/>
    <s v="CMR004005002"/>
    <s v="Yes"/>
    <x v="27"/>
    <x v="27"/>
    <s v="No"/>
    <m/>
    <x v="0"/>
    <s v="Yes"/>
    <n v="74"/>
    <x v="20"/>
    <s v="Yes"/>
    <n v="3790"/>
    <n v="23107"/>
    <s v="Yes"/>
    <n v="73"/>
    <s v="No"/>
    <m/>
    <s v="Yes"/>
    <n v="320"/>
    <s v="No"/>
    <m/>
    <s v="Yes"/>
    <n v="270"/>
    <m/>
    <m/>
  </r>
  <r>
    <s v="Extrême-Nord"/>
    <s v="CMR004"/>
    <x v="4"/>
    <s v="CMR004005"/>
    <s v="Tokombere"/>
    <s v="CMR004005003"/>
    <s v="Yes"/>
    <x v="28"/>
    <x v="28"/>
    <s v="No"/>
    <m/>
    <x v="0"/>
    <s v="Yes"/>
    <n v="25"/>
    <x v="21"/>
    <s v="No"/>
    <m/>
    <m/>
    <s v="No"/>
    <m/>
    <s v="No"/>
    <m/>
    <s v="Yes"/>
    <n v="502"/>
    <s v="No"/>
    <m/>
    <s v="Yes"/>
    <n v="270"/>
    <m/>
    <m/>
  </r>
  <r>
    <s v="Extrême-Nord"/>
    <s v="CMR004"/>
    <x v="5"/>
    <s v="CMR004006"/>
    <s v="Mogode"/>
    <s v="CMR004006001"/>
    <s v="Yes"/>
    <x v="29"/>
    <x v="29"/>
    <s v="No"/>
    <m/>
    <x v="0"/>
    <s v="Yes"/>
    <n v="200"/>
    <x v="22"/>
    <s v="No"/>
    <m/>
    <m/>
    <s v="No"/>
    <m/>
    <s v="No"/>
    <m/>
    <s v="Yes"/>
    <n v="486"/>
    <s v="No"/>
    <m/>
    <s v="Yes"/>
    <n v="117"/>
    <m/>
    <m/>
  </r>
  <r>
    <s v="Extrême-Nord"/>
    <s v="CMR004"/>
    <x v="5"/>
    <s v="CMR004006"/>
    <s v="Mokolo"/>
    <s v="CMR004006002"/>
    <s v="Yes"/>
    <x v="30"/>
    <x v="30"/>
    <s v="No"/>
    <m/>
    <x v="0"/>
    <s v="Yes"/>
    <n v="405"/>
    <x v="23"/>
    <s v="No"/>
    <m/>
    <m/>
    <s v="No"/>
    <m/>
    <s v="Yes"/>
    <n v="105"/>
    <s v="Yes"/>
    <n v="686"/>
    <s v="No"/>
    <m/>
    <s v="Yes"/>
    <n v="29"/>
    <m/>
    <m/>
  </r>
  <r>
    <s v="Extrême-Nord"/>
    <s v="CMR004"/>
    <x v="5"/>
    <s v="CMR004006"/>
    <s v="Hina"/>
    <s v="CMR004006003"/>
    <s v="Yes"/>
    <x v="31"/>
    <x v="31"/>
    <s v="No"/>
    <m/>
    <x v="0"/>
    <s v="Yes"/>
    <n v="9"/>
    <x v="24"/>
    <s v="No"/>
    <m/>
    <m/>
    <s v="No"/>
    <m/>
    <s v="No"/>
    <m/>
    <s v="Yes"/>
    <n v="108"/>
    <s v="No"/>
    <m/>
    <s v="No"/>
    <m/>
    <m/>
    <m/>
  </r>
  <r>
    <s v="Extrême-Nord"/>
    <s v="CMR004"/>
    <x v="5"/>
    <s v="CMR004006"/>
    <s v="Koza"/>
    <s v="CMR004006004"/>
    <s v="Yes"/>
    <x v="32"/>
    <x v="32"/>
    <s v="No"/>
    <m/>
    <x v="0"/>
    <s v="No"/>
    <m/>
    <x v="0"/>
    <s v="No"/>
    <m/>
    <m/>
    <s v="No"/>
    <m/>
    <s v="No"/>
    <m/>
    <s v="Yes"/>
    <n v="1072"/>
    <s v="No"/>
    <m/>
    <s v="Yes"/>
    <n v="10"/>
    <m/>
    <m/>
  </r>
  <r>
    <s v="Extrême-Nord"/>
    <s v="CMR004"/>
    <x v="5"/>
    <s v="CMR004006"/>
    <s v="Mozogo"/>
    <s v="CMR004006005"/>
    <s v="Yes"/>
    <x v="33"/>
    <x v="33"/>
    <s v="No"/>
    <m/>
    <x v="0"/>
    <s v="Yes"/>
    <n v="41"/>
    <x v="25"/>
    <s v="Yes"/>
    <n v="99"/>
    <n v="495"/>
    <s v="Yes"/>
    <n v="327"/>
    <s v="No"/>
    <m/>
    <s v="Yes"/>
    <n v="603"/>
    <s v="No"/>
    <m/>
    <s v="Yes"/>
    <n v="103"/>
    <n v="71"/>
    <n v="355"/>
  </r>
  <r>
    <s v="Extrême-Nord"/>
    <s v="CMR004"/>
    <x v="5"/>
    <s v="CMR004006"/>
    <s v="Soulede_Roua"/>
    <s v="CMR004006006"/>
    <s v="Yes"/>
    <x v="34"/>
    <x v="34"/>
    <s v="No"/>
    <m/>
    <x v="0"/>
    <s v="Yes"/>
    <n v="38"/>
    <x v="26"/>
    <s v="Yes"/>
    <n v="13"/>
    <n v="39"/>
    <s v="No"/>
    <m/>
    <s v="No"/>
    <m/>
    <s v="Yes"/>
    <n v="92"/>
    <s v="No"/>
    <m/>
    <s v="Yes"/>
    <n v="10"/>
    <m/>
    <m/>
  </r>
  <r>
    <s v="Extrême-Nord"/>
    <s v="CMR004"/>
    <x v="5"/>
    <s v="CMR004006"/>
    <s v="Bourha"/>
    <s v="CMR004006007"/>
    <s v="Yes"/>
    <x v="35"/>
    <x v="35"/>
    <s v="No"/>
    <m/>
    <x v="0"/>
    <s v="Yes"/>
    <n v="8"/>
    <x v="27"/>
    <s v="Yes"/>
    <n v="3"/>
    <n v="12"/>
    <s v="No"/>
    <m/>
    <s v="No"/>
    <m/>
    <s v="Yes"/>
    <n v="10"/>
    <s v="No"/>
    <m/>
    <s v="Yes"/>
    <n v="8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1">
  <r>
    <s v="Extrême-Nord"/>
    <s v="CMR004"/>
    <x v="0"/>
    <s v="CMR004001"/>
    <s v="14,2056792271808"/>
    <s v="10,6478344923364"/>
    <x v="0"/>
    <s v="CMR004001005"/>
    <s v="14,7135247124566"/>
    <s v="10,782926803165"/>
    <x v="0"/>
    <x v="0"/>
    <n v="10"/>
    <n v="57"/>
    <x v="0"/>
    <m/>
    <s v="Other_Department"/>
    <s v="CMR"/>
    <s v="Cameroon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1"/>
    <n v="13"/>
    <n v="90"/>
    <x v="0"/>
    <m/>
    <s v="Other_Depart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0"/>
    <n v="4"/>
    <n v="27"/>
    <x v="0"/>
    <m/>
    <s v="Other_Depart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1"/>
    <n v="24"/>
    <n v="128"/>
    <x v="0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0"/>
    <n v="16"/>
    <n v="142"/>
    <x v="0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2"/>
    <n v="7"/>
    <n v="36"/>
    <x v="0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0"/>
    <n v="29"/>
    <n v="151"/>
    <x v="0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1"/>
    <n v="35"/>
    <n v="178"/>
    <x v="0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4"/>
    <s v="CMR004001007"/>
    <s v="14,1802203508071"/>
    <s v="10,7670589258642"/>
    <x v="0"/>
    <x v="1"/>
    <n v="20"/>
    <n v="105"/>
    <x v="0"/>
    <m/>
    <s v="Other_Department"/>
    <s v="CMR"/>
    <s v="Cameroon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5"/>
    <s v="CMR004001003"/>
    <s v="14,549137854761"/>
    <s v="11,0035065052121"/>
    <x v="0"/>
    <x v="1"/>
    <n v="386"/>
    <n v="2696"/>
    <x v="0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3"/>
    <n v="186"/>
    <n v="1783"/>
    <x v="1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0"/>
    <n v="212"/>
    <n v="2274"/>
    <x v="0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1"/>
    <n v="586"/>
    <n v="2831"/>
    <x v="0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4"/>
    <n v="504"/>
    <n v="252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2"/>
    <n v="297"/>
    <n v="1485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0"/>
    <n v="386"/>
    <n v="193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3"/>
    <n v="628"/>
    <n v="3140"/>
    <x v="1"/>
    <m/>
    <s v="Other_Department"/>
    <s v="CMR"/>
    <s v="Cameroon"/>
    <s v="CMR004"/>
    <s v="Extrême-Nord"/>
    <s v="CMR004003"/>
    <s v="Mayo-Danay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1"/>
    <n v="209"/>
    <n v="1045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5"/>
    <n v="70"/>
    <n v="35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4"/>
    <n v="725"/>
    <n v="3625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2"/>
    <n v="268"/>
    <n v="134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0"/>
    <n v="200"/>
    <n v="100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1"/>
    <n v="1007"/>
    <n v="5035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2"/>
    <n v="220"/>
    <n v="994"/>
    <x v="0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0"/>
    <n v="127"/>
    <n v="635"/>
    <x v="0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1"/>
    <n v="120"/>
    <n v="600"/>
    <x v="0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0"/>
    <s v="CMR004002010"/>
    <s v="14,383"/>
    <s v="12,668"/>
    <x v="0"/>
    <x v="5"/>
    <n v="253"/>
    <n v="1282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4"/>
    <n v="70"/>
    <n v="602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0"/>
    <n v="540"/>
    <n v="3476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1"/>
    <n v="304"/>
    <n v="1560"/>
    <x v="0"/>
    <m/>
    <s v="Other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6"/>
    <s v="14,982"/>
    <s v="12,07"/>
    <x v="0"/>
    <x v="2"/>
    <n v="959"/>
    <n v="4661"/>
    <x v="0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0"/>
    <n v="2426"/>
    <n v="12128"/>
    <x v="0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4"/>
    <n v="392"/>
    <n v="2096"/>
    <x v="0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2"/>
    <n v="318"/>
    <n v="2277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3"/>
    <n v="102"/>
    <n v="664"/>
    <x v="1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0"/>
    <n v="11"/>
    <n v="70"/>
    <x v="0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5"/>
    <n v="464"/>
    <n v="3481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4"/>
    <n v="87"/>
    <n v="441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4"/>
    <n v="340"/>
    <n v="170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2"/>
    <n v="3289"/>
    <n v="13672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0"/>
    <n v="765"/>
    <n v="385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1"/>
    <n v="2746"/>
    <n v="16478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5"/>
    <n v="200"/>
    <n v="1000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0"/>
    <n v="329"/>
    <n v="1645"/>
    <x v="0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4"/>
    <n v="4"/>
    <n v="20"/>
    <x v="0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5"/>
    <s v="CMR004002005"/>
    <s v="15,0513637596863"/>
    <s v="11,2009917117623"/>
    <x v="0"/>
    <x v="2"/>
    <n v="1715"/>
    <n v="8575"/>
    <x v="1"/>
    <m/>
    <s v="Other_Depart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3"/>
    <n v="102"/>
    <n v="569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0"/>
    <n v="45"/>
    <n v="245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1"/>
    <n v="89"/>
    <n v="438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0"/>
    <n v="92"/>
    <n v="720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1"/>
    <n v="100"/>
    <n v="500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3"/>
    <n v="45"/>
    <n v="225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5"/>
    <n v="2"/>
    <n v="10"/>
    <x v="0"/>
    <m/>
    <s v="Other_Department"/>
    <s v="CMR"/>
    <s v="Cameroon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18"/>
    <s v="CMR004003010"/>
    <s v="15,31"/>
    <s v="10,09"/>
    <x v="0"/>
    <x v="3"/>
    <n v="359"/>
    <n v="1795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2"/>
    <n v="16"/>
    <n v="95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0"/>
    <n v="51"/>
    <n v="275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1"/>
    <n v="345"/>
    <n v="2321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3"/>
    <n v="1074"/>
    <n v="8922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3"/>
    <n v="473"/>
    <n v="2522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1"/>
    <n v="41"/>
    <n v="375"/>
    <x v="0"/>
    <m/>
    <s v="Other_Department"/>
    <s v="CMR"/>
    <s v="Cameroon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2"/>
    <n v="9"/>
    <n v="63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1"/>
    <s v="CMR004003009"/>
    <s v="15,21"/>
    <s v="10,205"/>
    <x v="0"/>
    <x v="3"/>
    <n v="67"/>
    <n v="359"/>
    <x v="1"/>
    <m/>
    <s v="Same_Arrondissement"/>
    <s v="CMR"/>
    <s v="Cameroon"/>
    <s v="CMR004"/>
    <s v="Extrême-Nord"/>
    <s v="CMR004003"/>
    <s v="Mayo-Danay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5"/>
    <n v="2"/>
    <n v="19"/>
    <x v="0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1"/>
    <n v="2"/>
    <n v="12"/>
    <x v="0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0"/>
    <n v="7"/>
    <n v="30"/>
    <x v="1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3"/>
    <n v="2"/>
    <n v="15"/>
    <x v="1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2"/>
    <n v="12"/>
    <n v="60"/>
    <x v="0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1"/>
    <n v="19"/>
    <n v="97"/>
    <x v="0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5"/>
    <n v="5"/>
    <n v="25"/>
    <x v="0"/>
    <m/>
    <s v="Other_Department"/>
    <s v="CMR"/>
    <s v="Cameroon"/>
    <s v="CMR004"/>
    <s v="Extrême-Nord"/>
    <s v="CMR004006"/>
    <s v="Mayo-Tsanag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5"/>
    <n v="288"/>
    <n v="1438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4"/>
    <n v="160"/>
    <n v="800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2"/>
    <n v="249"/>
    <n v="1712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0"/>
    <n v="200"/>
    <n v="750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1"/>
    <n v="360"/>
    <n v="1700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3"/>
    <n v="164"/>
    <n v="432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5"/>
    <n v="34"/>
    <n v="173"/>
    <x v="0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2"/>
    <n v="280"/>
    <n v="1680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4"/>
    <n v="123"/>
    <n v="738"/>
    <x v="0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0"/>
    <n v="1851"/>
    <n v="11106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1"/>
    <n v="1412"/>
    <n v="9427"/>
    <x v="0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2"/>
    <n v="17"/>
    <n v="78"/>
    <x v="0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0"/>
    <n v="34"/>
    <n v="168"/>
    <x v="0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5"/>
    <n v="99"/>
    <n v="496"/>
    <x v="0"/>
    <m/>
    <s v="Other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1"/>
    <n v="603"/>
    <n v="3016"/>
    <x v="0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4"/>
    <n v="19"/>
    <n v="99"/>
    <x v="0"/>
    <m/>
    <s v="Other_Arrondiss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7"/>
    <s v="13,577"/>
    <s v="10,314"/>
    <x v="0"/>
    <x v="4"/>
    <n v="2"/>
    <n v="17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8"/>
    <s v="CMR004006007"/>
    <s v="13,577"/>
    <s v="10,314"/>
    <x v="0"/>
    <x v="1"/>
    <n v="16"/>
    <n v="82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5"/>
    <n v="6"/>
    <n v="19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0"/>
    <n v="48"/>
    <n v="318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1"/>
    <n v="54"/>
    <n v="412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4"/>
    <s v="13,888"/>
    <s v="10,8833360788299"/>
    <x v="0"/>
    <x v="1"/>
    <n v="686"/>
    <n v="5354"/>
    <x v="0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4"/>
    <s v="13,888"/>
    <s v="10,8833360788299"/>
    <x v="0"/>
    <x v="0"/>
    <n v="375"/>
    <n v="3000"/>
    <x v="0"/>
    <m/>
    <s v="Other_Arrondissement"/>
    <s v="CMR"/>
    <s v="Cameroon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0"/>
    <s v="CMR004006004"/>
    <s v="13,888"/>
    <s v="10,8833360788299"/>
    <x v="0"/>
    <x v="4"/>
    <n v="21"/>
    <n v="159"/>
    <x v="0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4"/>
    <n v="30"/>
    <n v="423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2"/>
    <n v="195"/>
    <n v="1465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0"/>
    <n v="135"/>
    <n v="1050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1"/>
    <n v="243"/>
    <n v="1161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2"/>
    <n v="208"/>
    <n v="1039"/>
    <x v="0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2"/>
    <s v="CMR004006002"/>
    <s v="13,8672738240395"/>
    <s v="10,61"/>
    <x v="0"/>
    <x v="4"/>
    <n v="105"/>
    <n v="522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1"/>
    <n v="507"/>
    <n v="2538"/>
    <x v="0"/>
    <m/>
    <s v="Other_Arrondissement"/>
    <s v="CMR"/>
    <s v="Cameroon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5"/>
    <n v="47"/>
    <n v="235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4"/>
    <n v="106"/>
    <n v="530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0"/>
    <n v="236"/>
    <n v="1180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1"/>
    <n v="644"/>
    <n v="3220"/>
    <x v="0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1"/>
    <n v="65"/>
    <n v="320"/>
    <x v="0"/>
    <m/>
    <s v="Other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4"/>
    <n v="5"/>
    <n v="20"/>
    <x v="0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0"/>
    <n v="32"/>
    <n v="147"/>
    <x v="0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1"/>
    <n v="370"/>
    <n v="1850"/>
    <x v="0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2"/>
    <n v="341"/>
    <n v="1705"/>
    <x v="0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0"/>
    <n v="289"/>
    <n v="1445"/>
    <x v="0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0"/>
    <n v="105"/>
    <n v="525"/>
    <x v="0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1"/>
    <n v="271"/>
    <n v="1355"/>
    <x v="0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0"/>
    <n v="23"/>
    <n v="125"/>
    <x v="0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1"/>
    <n v="22"/>
    <n v="110"/>
    <x v="0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1"/>
    <x v="1"/>
    <n v="121"/>
    <n v="605"/>
    <x v="0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21"/>
    <s v="CMR004003009"/>
    <s v="15,21"/>
    <s v="10,205"/>
    <x v="1"/>
    <x v="1"/>
    <n v="1"/>
    <n v="4"/>
    <x v="2"/>
    <m/>
    <s v="Other_Country"/>
    <s v="TCD"/>
    <s v="Chad"/>
    <s v="TCDXXX"/>
    <s v="Bongor"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1"/>
    <x v="3"/>
    <n v="2"/>
    <n v="10"/>
    <x v="2"/>
    <m/>
    <s v="Other_Country"/>
    <s v="CAF"/>
    <s v="Centrafrican Republic"/>
    <s v="CAFXXX"/>
    <s v=" "/>
    <m/>
    <m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1"/>
    <x v="1"/>
    <n v="1"/>
    <n v="2"/>
    <x v="0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4"/>
    <n v="25"/>
    <n v="122"/>
    <x v="0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2"/>
    <n v="39"/>
    <n v="193"/>
    <x v="0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0"/>
    <n v="40"/>
    <n v="200"/>
    <x v="0"/>
    <m/>
    <s v="Other_Country"/>
    <s v="NGA"/>
    <s v="Nigeria"/>
    <s v="NGA008"/>
    <s v="Borno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s v="Extrême-Nord"/>
    <s v="CMR004"/>
    <x v="0"/>
    <s v="CMR004001"/>
    <s v="Maroua III"/>
    <s v="CMR004001001"/>
    <s v="Yes"/>
    <n v="71"/>
    <n v="365"/>
    <s v="No"/>
    <m/>
    <m/>
    <s v="No"/>
    <m/>
    <m/>
    <s v="No"/>
    <m/>
    <m/>
    <s v="No"/>
    <m/>
    <s v="No"/>
    <m/>
    <s v="No"/>
    <m/>
    <s v="No"/>
    <m/>
    <s v="Yes"/>
    <n v="71"/>
    <n v="24"/>
    <n v="120"/>
  </r>
  <r>
    <s v="Extrême-Nord"/>
    <s v="CMR004"/>
    <x v="0"/>
    <s v="CMR004001"/>
    <s v="Maroua II"/>
    <s v="CMR004001002"/>
    <s v="Yes"/>
    <n v="40"/>
    <n v="270"/>
    <s v="No"/>
    <m/>
    <m/>
    <s v="No"/>
    <m/>
    <m/>
    <s v="No"/>
    <m/>
    <m/>
    <s v="No"/>
    <m/>
    <s v="No"/>
    <m/>
    <s v="No"/>
    <m/>
    <s v="No"/>
    <m/>
    <s v="Yes"/>
    <n v="40"/>
    <n v="7"/>
    <n v="40"/>
  </r>
  <r>
    <s v="Extrême-Nord"/>
    <s v="CMR004"/>
    <x v="0"/>
    <s v="CMR004001"/>
    <s v="Pette"/>
    <s v="CMR004001003"/>
    <s v="Yes"/>
    <n v="386"/>
    <n v="2696"/>
    <s v="No"/>
    <m/>
    <m/>
    <s v="No"/>
    <m/>
    <m/>
    <s v="No"/>
    <m/>
    <m/>
    <s v="No"/>
    <m/>
    <s v="No"/>
    <m/>
    <s v="Yes"/>
    <n v="55"/>
    <s v="No"/>
    <m/>
    <s v="Yes"/>
    <n v="235"/>
    <m/>
    <m/>
  </r>
  <r>
    <s v="Extrême-Nord"/>
    <s v="CMR004"/>
    <x v="0"/>
    <s v="CMR004001"/>
    <s v="Dargala"/>
    <s v="CMR004001004"/>
    <s v="No"/>
    <m/>
    <m/>
    <s v="No"/>
    <m/>
    <m/>
    <s v="Yes"/>
    <n v="31"/>
    <n v="168"/>
    <s v="Yes"/>
    <n v="2"/>
    <n v="13"/>
    <s v="No"/>
    <m/>
    <s v="No"/>
    <m/>
    <s v="Yes"/>
    <n v="31"/>
    <s v="No"/>
    <m/>
    <s v="No"/>
    <m/>
    <m/>
    <m/>
  </r>
  <r>
    <s v="Extrême-Nord"/>
    <s v="CMR004"/>
    <x v="0"/>
    <s v="CMR004001"/>
    <s v="Bogo"/>
    <s v="CMR004001005"/>
    <s v="Yes"/>
    <n v="10"/>
    <n v="57"/>
    <s v="No"/>
    <m/>
    <m/>
    <s v="No"/>
    <m/>
    <m/>
    <s v="No"/>
    <m/>
    <m/>
    <s v="No"/>
    <m/>
    <s v="No"/>
    <m/>
    <s v="Yes"/>
    <n v="10"/>
    <s v="No"/>
    <m/>
    <s v="No"/>
    <m/>
    <m/>
    <m/>
  </r>
  <r>
    <s v="Extrême-Nord"/>
    <s v="CMR004"/>
    <x v="0"/>
    <s v="CMR004001"/>
    <s v="Meri"/>
    <s v="CMR004001007"/>
    <s v="Yes"/>
    <n v="20"/>
    <n v="105"/>
    <s v="No"/>
    <m/>
    <m/>
    <s v="No"/>
    <m/>
    <m/>
    <s v="No"/>
    <m/>
    <m/>
    <s v="No"/>
    <m/>
    <s v="No"/>
    <m/>
    <s v="No"/>
    <m/>
    <s v="Yes"/>
    <n v="20"/>
    <s v="No"/>
    <m/>
    <m/>
    <m/>
  </r>
  <r>
    <s v="Extrême-Nord"/>
    <s v="CMR004"/>
    <x v="0"/>
    <s v="CMR004001"/>
    <s v="Gazawa"/>
    <s v="CMR004001008"/>
    <s v="Yes"/>
    <n v="17"/>
    <n v="117"/>
    <s v="No"/>
    <m/>
    <m/>
    <s v="No"/>
    <m/>
    <m/>
    <s v="No"/>
    <m/>
    <m/>
    <s v="No"/>
    <m/>
    <s v="No"/>
    <m/>
    <s v="No"/>
    <m/>
    <s v="No"/>
    <m/>
    <s v="Yes"/>
    <n v="17"/>
    <m/>
    <m/>
  </r>
  <r>
    <s v="Extrême-Nord"/>
    <s v="CMR004"/>
    <x v="0"/>
    <s v="CMR004001"/>
    <s v="Maroua I"/>
    <s v="CMR004001009"/>
    <s v="No"/>
    <m/>
    <m/>
    <s v="No"/>
    <m/>
    <m/>
    <s v="No"/>
    <m/>
    <m/>
    <s v="No"/>
    <m/>
    <m/>
    <m/>
    <m/>
    <m/>
    <m/>
    <m/>
    <m/>
    <m/>
    <m/>
    <m/>
    <m/>
    <m/>
    <m/>
  </r>
  <r>
    <s v="Extrême-Nord"/>
    <s v="CMR004"/>
    <x v="1"/>
    <s v="CMR004002"/>
    <s v="Waza"/>
    <s v="CMR004002001"/>
    <s v="Yes"/>
    <n v="333"/>
    <n v="1665"/>
    <s v="Yes"/>
    <n v="376"/>
    <n v="1880"/>
    <s v="Yes"/>
    <n v="15"/>
    <n v="75"/>
    <s v="Yes"/>
    <n v="4"/>
    <n v="20"/>
    <s v="Yes"/>
    <n v="508"/>
    <s v="No"/>
    <m/>
    <s v="Yes"/>
    <n v="179"/>
    <s v="No"/>
    <m/>
    <s v="Yes"/>
    <n v="22"/>
    <m/>
    <m/>
  </r>
  <r>
    <s v="Extrême-Nord"/>
    <s v="CMR004"/>
    <x v="1"/>
    <s v="CMR004002"/>
    <s v="Goulfey"/>
    <s v="CMR004002002"/>
    <s v="Yes"/>
    <n v="467"/>
    <n v="2229"/>
    <s v="No"/>
    <m/>
    <m/>
    <s v="No"/>
    <m/>
    <m/>
    <s v="No"/>
    <m/>
    <m/>
    <s v="No"/>
    <m/>
    <s v="No"/>
    <m/>
    <s v="Yes"/>
    <n v="458"/>
    <s v="No"/>
    <m/>
    <s v="Yes"/>
    <n v="9"/>
    <m/>
    <m/>
  </r>
  <r>
    <s v="Extrême-Nord"/>
    <s v="CMR004"/>
    <x v="1"/>
    <s v="CMR004002"/>
    <s v="Blangoua"/>
    <s v="CMR004002003"/>
    <s v="Yes"/>
    <n v="984"/>
    <n v="6888"/>
    <s v="No"/>
    <m/>
    <m/>
    <s v="Yes"/>
    <n v="58"/>
    <n v="406"/>
    <s v="No"/>
    <m/>
    <m/>
    <s v="Yes"/>
    <n v="186"/>
    <s v="No"/>
    <m/>
    <s v="Yes"/>
    <n v="563"/>
    <s v="No"/>
    <m/>
    <s v="Yes"/>
    <n v="235"/>
    <m/>
    <m/>
  </r>
  <r>
    <s v="Extrême-Nord"/>
    <s v="CMR004"/>
    <x v="1"/>
    <s v="CMR004002"/>
    <s v="Logone-Birni"/>
    <s v="CMR004002004"/>
    <s v="Yes"/>
    <n v="982"/>
    <n v="6933"/>
    <s v="No"/>
    <m/>
    <m/>
    <s v="Yes"/>
    <n v="88"/>
    <n v="490"/>
    <s v="Yes"/>
    <n v="14"/>
    <n v="77"/>
    <s v="Yes"/>
    <n v="486"/>
    <s v="No"/>
    <m/>
    <s v="Yes"/>
    <n v="496"/>
    <s v="No"/>
    <m/>
    <s v="No"/>
    <m/>
    <m/>
    <m/>
  </r>
  <r>
    <s v="Extrême-Nord"/>
    <s v="CMR004"/>
    <x v="1"/>
    <s v="CMR004002"/>
    <s v="Zina"/>
    <s v="CMR004002005"/>
    <s v="Yes"/>
    <n v="1715"/>
    <n v="8575"/>
    <s v="No"/>
    <m/>
    <m/>
    <s v="Yes"/>
    <n v="1610"/>
    <n v="8050"/>
    <s v="Yes"/>
    <n v="105"/>
    <n v="525"/>
    <s v="No"/>
    <m/>
    <s v="No"/>
    <m/>
    <s v="Yes"/>
    <n v="1700"/>
    <s v="No"/>
    <m/>
    <s v="Yes"/>
    <n v="15"/>
    <m/>
    <m/>
  </r>
  <r>
    <s v="Extrême-Nord"/>
    <s v="CMR004"/>
    <x v="1"/>
    <s v="CMR004002"/>
    <s v="Kousseri"/>
    <s v="CMR004002006"/>
    <s v="Yes"/>
    <n v="3777"/>
    <n v="18885"/>
    <s v="No"/>
    <m/>
    <m/>
    <s v="No"/>
    <m/>
    <m/>
    <s v="No"/>
    <m/>
    <m/>
    <s v="No"/>
    <m/>
    <s v="No"/>
    <m/>
    <s v="Yes"/>
    <n v="2762"/>
    <s v="No"/>
    <m/>
    <s v="Yes"/>
    <n v="1015"/>
    <m/>
    <m/>
  </r>
  <r>
    <s v="Extrême-Nord"/>
    <s v="CMR004"/>
    <x v="1"/>
    <s v="CMR004002"/>
    <s v="Darak"/>
    <s v="CMR004002007"/>
    <s v="Yes"/>
    <n v="2024"/>
    <n v="10120"/>
    <s v="No"/>
    <m/>
    <m/>
    <s v="No"/>
    <m/>
    <m/>
    <s v="Yes"/>
    <n v="37"/>
    <n v="185"/>
    <s v="No"/>
    <m/>
    <s v="No"/>
    <m/>
    <s v="Yes"/>
    <n v="1953"/>
    <s v="No"/>
    <m/>
    <s v="Yes"/>
    <n v="71"/>
    <m/>
    <m/>
  </r>
  <r>
    <s v="Extrême-Nord"/>
    <s v="CMR004"/>
    <x v="1"/>
    <s v="CMR004002"/>
    <s v="Fotokol"/>
    <s v="CMR004002008"/>
    <s v="Yes"/>
    <n v="2270"/>
    <n v="11350"/>
    <s v="Yes"/>
    <n v="1000"/>
    <n v="5000"/>
    <s v="Yes"/>
    <n v="2028"/>
    <n v="10140"/>
    <s v="Yes"/>
    <n v="2100"/>
    <n v="10500"/>
    <s v="Yes"/>
    <n v="2088"/>
    <s v="No"/>
    <m/>
    <s v="Yes"/>
    <n v="423"/>
    <s v="Yes"/>
    <n v="224"/>
    <s v="Yes"/>
    <n v="535"/>
    <m/>
    <m/>
  </r>
  <r>
    <s v="Extrême-Nord"/>
    <s v="CMR004"/>
    <x v="1"/>
    <s v="CMR004002"/>
    <s v="Makary"/>
    <s v="CMR004002009"/>
    <s v="Yes"/>
    <n v="7340"/>
    <n v="36700"/>
    <s v="No"/>
    <m/>
    <m/>
    <s v="Yes"/>
    <n v="1060"/>
    <n v="5300"/>
    <s v="No"/>
    <m/>
    <m/>
    <s v="Yes"/>
    <n v="280"/>
    <s v="No"/>
    <m/>
    <s v="Yes"/>
    <n v="7060"/>
    <s v="No"/>
    <m/>
    <s v="No"/>
    <m/>
    <m/>
    <m/>
  </r>
  <r>
    <s v="Extrême-Nord"/>
    <s v="CMR004"/>
    <x v="1"/>
    <s v="CMR004002"/>
    <s v="Hile-Alifa"/>
    <s v="CMR004002010"/>
    <s v="Yes"/>
    <n v="1167"/>
    <n v="6920"/>
    <s v="No"/>
    <m/>
    <m/>
    <s v="Yes"/>
    <n v="327"/>
    <n v="1525"/>
    <s v="Yes"/>
    <n v="587"/>
    <n v="4113"/>
    <s v="No"/>
    <m/>
    <s v="No"/>
    <m/>
    <s v="Yes"/>
    <n v="1167"/>
    <s v="No"/>
    <m/>
    <s v="No"/>
    <m/>
    <m/>
    <m/>
  </r>
  <r>
    <s v="Extrême-Nord"/>
    <s v="CMR004"/>
    <x v="2"/>
    <s v="CMR004003"/>
    <s v="Kai-Kai"/>
    <s v="CMR004003001"/>
    <s v="Yes"/>
    <n v="1486"/>
    <n v="11613"/>
    <s v="No"/>
    <m/>
    <m/>
    <s v="Yes"/>
    <n v="1269"/>
    <n v="6350"/>
    <s v="No"/>
    <m/>
    <m/>
    <s v="Yes"/>
    <n v="523"/>
    <s v="No"/>
    <m/>
    <s v="Yes"/>
    <n v="2232"/>
    <s v="No"/>
    <m/>
    <s v="No"/>
    <m/>
    <m/>
    <m/>
  </r>
  <r>
    <s v="Extrême-Nord"/>
    <s v="CMR004"/>
    <x v="2"/>
    <s v="CMR004003"/>
    <s v="Maga"/>
    <s v="CMR004003002"/>
    <s v="Yes"/>
    <n v="523"/>
    <n v="2960"/>
    <s v="Yes"/>
    <n v="121"/>
    <n v="605"/>
    <s v="Yes"/>
    <n v="25"/>
    <n v="125"/>
    <s v="No"/>
    <m/>
    <m/>
    <s v="Yes"/>
    <n v="482"/>
    <s v="No"/>
    <m/>
    <s v="Yes"/>
    <n v="187"/>
    <s v="No"/>
    <m/>
    <s v="No"/>
    <m/>
    <m/>
    <m/>
  </r>
  <r>
    <s v="Extrême-Nord"/>
    <s v="CMR004"/>
    <x v="2"/>
    <s v="CMR004003"/>
    <s v="Gueme"/>
    <s v="CMR004003006"/>
    <s v="Yes"/>
    <n v="239"/>
    <n v="1455"/>
    <s v="No"/>
    <m/>
    <m/>
    <s v="Yes"/>
    <n v="37"/>
    <n v="185"/>
    <s v="Yes"/>
    <n v="19"/>
    <n v="95"/>
    <s v="No"/>
    <m/>
    <s v="No"/>
    <m/>
    <s v="Yes"/>
    <n v="276"/>
    <s v="No"/>
    <m/>
    <s v="No"/>
    <m/>
    <m/>
    <m/>
  </r>
  <r>
    <s v="Extrême-Nord"/>
    <s v="CMR004"/>
    <x v="2"/>
    <s v="CMR004003"/>
    <s v="Yagoua"/>
    <s v="CMR004003009"/>
    <s v="Yes"/>
    <n v="67"/>
    <n v="359"/>
    <s v="Yes"/>
    <n v="1"/>
    <n v="4"/>
    <s v="Yes"/>
    <n v="3"/>
    <n v="17"/>
    <s v="No"/>
    <m/>
    <m/>
    <s v="Yes"/>
    <n v="67"/>
    <s v="No"/>
    <m/>
    <s v="Yes"/>
    <n v="4"/>
    <s v="No"/>
    <m/>
    <s v="No"/>
    <m/>
    <m/>
    <m/>
  </r>
  <r>
    <s v="Extrême-Nord"/>
    <s v="CMR004"/>
    <x v="2"/>
    <s v="CMR004003"/>
    <s v="Guere"/>
    <s v="CMR004003010"/>
    <s v="Yes"/>
    <n v="359"/>
    <n v="1795"/>
    <s v="No"/>
    <m/>
    <m/>
    <s v="Yes"/>
    <n v="320"/>
    <n v="1495"/>
    <s v="Yes"/>
    <n v="20"/>
    <n v="137"/>
    <s v="No"/>
    <m/>
    <s v="No"/>
    <m/>
    <s v="Yes"/>
    <n v="453"/>
    <s v="No"/>
    <m/>
    <s v="Yes"/>
    <n v="226"/>
    <m/>
    <m/>
  </r>
  <r>
    <s v="Extrême-Nord"/>
    <s v="CMR004"/>
    <x v="2"/>
    <s v="CMR004003"/>
    <s v="Gobo"/>
    <s v="CMR004003011"/>
    <s v="Yes"/>
    <n v="236"/>
    <n v="1252"/>
    <s v="Yes"/>
    <n v="45"/>
    <n v="235"/>
    <s v="Yes"/>
    <n v="97"/>
    <n v="775"/>
    <s v="Yes"/>
    <n v="39"/>
    <n v="156"/>
    <s v="No"/>
    <m/>
    <s v="Yes"/>
    <n v="138"/>
    <s v="Yes"/>
    <n v="172"/>
    <s v="No"/>
    <m/>
    <s v="Yes"/>
    <n v="62"/>
    <n v="11"/>
    <n v="88"/>
  </r>
  <r>
    <s v="Extrême-Nord"/>
    <s v="CMR004"/>
    <x v="3"/>
    <s v="CMR004004"/>
    <s v="Guidiguis"/>
    <s v="CMR004004001"/>
    <s v="Yes"/>
    <n v="4"/>
    <n v="31"/>
    <s v="No"/>
    <m/>
    <m/>
    <s v="Yes"/>
    <n v="1"/>
    <n v="13"/>
    <s v="No"/>
    <m/>
    <m/>
    <s v="No"/>
    <m/>
    <s v="No"/>
    <m/>
    <s v="Yes"/>
    <n v="5"/>
    <s v="No"/>
    <m/>
    <s v="No"/>
    <m/>
    <m/>
    <m/>
  </r>
  <r>
    <s v="Extrême-Nord"/>
    <s v="CMR004"/>
    <x v="3"/>
    <s v="CMR004004"/>
    <s v="Moulvoudaye"/>
    <s v="CMR004004002"/>
    <s v="No"/>
    <m/>
    <m/>
    <s v="Yes"/>
    <n v="2"/>
    <n v="10"/>
    <s v="Yes"/>
    <n v="20"/>
    <n v="100"/>
    <s v="Yes"/>
    <n v="30"/>
    <n v="150"/>
    <s v="No"/>
    <m/>
    <s v="No"/>
    <m/>
    <s v="Yes"/>
    <n v="18"/>
    <s v="No"/>
    <m/>
    <s v="Yes"/>
    <n v="2"/>
    <m/>
    <m/>
  </r>
  <r>
    <s v="Extrême-Nord"/>
    <s v="CMR004"/>
    <x v="3"/>
    <s v="CMR004004"/>
    <s v="Moutourwa"/>
    <s v="CMR004004005"/>
    <s v="Yes"/>
    <n v="36"/>
    <n v="182"/>
    <s v="Yes"/>
    <n v="1"/>
    <n v="2"/>
    <s v="Yes"/>
    <n v="4"/>
    <n v="23"/>
    <s v="No"/>
    <m/>
    <m/>
    <s v="No"/>
    <m/>
    <s v="No"/>
    <m/>
    <s v="Yes"/>
    <n v="30"/>
    <s v="No"/>
    <m/>
    <s v="Yes"/>
    <n v="12"/>
    <m/>
    <m/>
  </r>
  <r>
    <s v="Extrême-Nord"/>
    <s v="CMR004"/>
    <x v="3"/>
    <s v="CMR004004"/>
    <s v="Kaele"/>
    <s v="CMR004004006"/>
    <s v="No"/>
    <m/>
    <m/>
    <s v="No"/>
    <m/>
    <m/>
    <s v="Yes"/>
    <n v="6"/>
    <n v="36"/>
    <s v="No"/>
    <m/>
    <m/>
    <s v="No"/>
    <m/>
    <s v="No"/>
    <m/>
    <s v="Yes"/>
    <n v="6"/>
    <s v="No"/>
    <m/>
    <s v="No"/>
    <m/>
    <m/>
    <m/>
  </r>
  <r>
    <s v="Extrême-Nord"/>
    <s v="CMR004"/>
    <x v="3"/>
    <s v="CMR004004"/>
    <s v="Mindif"/>
    <s v="CMR004004007"/>
    <s v="Yes"/>
    <n v="9"/>
    <n v="45"/>
    <s v="No"/>
    <m/>
    <m/>
    <s v="Yes"/>
    <n v="4"/>
    <n v="20"/>
    <s v="No"/>
    <m/>
    <m/>
    <s v="No"/>
    <m/>
    <s v="No"/>
    <m/>
    <s v="Yes"/>
    <n v="5"/>
    <s v="No"/>
    <m/>
    <s v="Yes"/>
    <n v="4"/>
    <m/>
    <m/>
  </r>
  <r>
    <s v="Extrême-Nord"/>
    <s v="CMR004"/>
    <x v="4"/>
    <s v="CMR004005"/>
    <s v="Kolofata"/>
    <s v="CMR004005001"/>
    <s v="Yes"/>
    <n v="1257"/>
    <n v="6400"/>
    <s v="Yes"/>
    <n v="104"/>
    <n v="515"/>
    <s v="No"/>
    <m/>
    <m/>
    <s v="No"/>
    <m/>
    <m/>
    <s v="Yes"/>
    <n v="1277"/>
    <s v="Yes"/>
    <n v="850"/>
    <s v="Yes"/>
    <n v="2572"/>
    <s v="Yes"/>
    <n v="373"/>
    <s v="Yes"/>
    <n v="301"/>
    <n v="4173"/>
    <n v="31160"/>
  </r>
  <r>
    <s v="Extrême-Nord"/>
    <s v="CMR004"/>
    <x v="4"/>
    <s v="CMR004005"/>
    <s v="Mora"/>
    <s v="CMR004005002"/>
    <s v="Yes"/>
    <n v="3864"/>
    <n v="23556"/>
    <s v="No"/>
    <m/>
    <m/>
    <s v="Yes"/>
    <n v="74"/>
    <n v="449"/>
    <s v="Yes"/>
    <n v="3790"/>
    <n v="23107"/>
    <s v="Yes"/>
    <n v="73"/>
    <s v="No"/>
    <m/>
    <s v="Yes"/>
    <n v="320"/>
    <s v="No"/>
    <m/>
    <s v="Yes"/>
    <n v="270"/>
    <m/>
    <m/>
  </r>
  <r>
    <s v="Extrême-Nord"/>
    <s v="CMR004"/>
    <x v="4"/>
    <s v="CMR004005"/>
    <s v="Tokombere"/>
    <s v="CMR004005003"/>
    <s v="Yes"/>
    <n v="772"/>
    <n v="3857"/>
    <s v="No"/>
    <m/>
    <m/>
    <s v="Yes"/>
    <n v="25"/>
    <n v="137"/>
    <s v="No"/>
    <m/>
    <m/>
    <s v="No"/>
    <m/>
    <s v="No"/>
    <m/>
    <s v="Yes"/>
    <n v="502"/>
    <s v="No"/>
    <m/>
    <s v="Yes"/>
    <n v="270"/>
    <m/>
    <m/>
  </r>
  <r>
    <s v="Extrême-Nord"/>
    <s v="CMR004"/>
    <x v="5"/>
    <s v="CMR004006"/>
    <s v="Mogode"/>
    <s v="CMR004006001"/>
    <s v="Yes"/>
    <n v="603"/>
    <n v="4099"/>
    <s v="No"/>
    <m/>
    <m/>
    <s v="Yes"/>
    <n v="189"/>
    <n v="1284"/>
    <s v="No"/>
    <m/>
    <m/>
    <s v="No"/>
    <m/>
    <s v="No"/>
    <m/>
    <s v="Yes"/>
    <n v="486"/>
    <s v="No"/>
    <m/>
    <s v="Yes"/>
    <n v="117"/>
    <m/>
    <m/>
  </r>
  <r>
    <s v="Extrême-Nord"/>
    <s v="CMR004"/>
    <x v="5"/>
    <s v="CMR004006"/>
    <s v="Mokolo"/>
    <s v="CMR004006002"/>
    <s v="Yes"/>
    <n v="820"/>
    <n v="4099"/>
    <s v="No"/>
    <m/>
    <m/>
    <s v="Yes"/>
    <n v="405"/>
    <n v="2025"/>
    <s v="No"/>
    <m/>
    <m/>
    <s v="No"/>
    <m/>
    <s v="Yes"/>
    <n v="105"/>
    <s v="Yes"/>
    <n v="686"/>
    <s v="No"/>
    <m/>
    <s v="Yes"/>
    <n v="29"/>
    <m/>
    <m/>
  </r>
  <r>
    <s v="Extrême-Nord"/>
    <s v="CMR004"/>
    <x v="5"/>
    <s v="CMR004006"/>
    <s v="Hina"/>
    <s v="CMR004006003"/>
    <s v="Yes"/>
    <n v="108"/>
    <n v="749"/>
    <s v="No"/>
    <m/>
    <m/>
    <s v="Yes"/>
    <n v="9"/>
    <n v="63"/>
    <s v="No"/>
    <m/>
    <m/>
    <s v="No"/>
    <m/>
    <s v="No"/>
    <m/>
    <s v="Yes"/>
    <n v="108"/>
    <s v="No"/>
    <m/>
    <s v="No"/>
    <m/>
    <m/>
    <m/>
  </r>
  <r>
    <s v="Extrême-Nord"/>
    <s v="CMR004"/>
    <x v="5"/>
    <s v="CMR004006"/>
    <s v="Koza"/>
    <s v="CMR004006004"/>
    <s v="Yes"/>
    <n v="1082"/>
    <n v="8513"/>
    <s v="No"/>
    <m/>
    <m/>
    <s v="Yes"/>
    <n v="36"/>
    <n v="216"/>
    <s v="No"/>
    <m/>
    <m/>
    <s v="No"/>
    <m/>
    <s v="No"/>
    <m/>
    <s v="Yes"/>
    <n v="1072"/>
    <s v="No"/>
    <m/>
    <s v="Yes"/>
    <n v="10"/>
    <m/>
    <m/>
  </r>
  <r>
    <s v="Extrême-Nord"/>
    <s v="CMR004"/>
    <x v="5"/>
    <s v="CMR004006"/>
    <s v="Mozogo"/>
    <s v="CMR004006005"/>
    <s v="Yes"/>
    <n v="1033"/>
    <n v="5165"/>
    <s v="No"/>
    <m/>
    <m/>
    <s v="Yes"/>
    <n v="41"/>
    <n v="205"/>
    <s v="Yes"/>
    <n v="99"/>
    <n v="495"/>
    <s v="Yes"/>
    <n v="327"/>
    <s v="No"/>
    <m/>
    <s v="Yes"/>
    <n v="603"/>
    <s v="No"/>
    <m/>
    <s v="Yes"/>
    <n v="103"/>
    <n v="71"/>
    <n v="355"/>
  </r>
  <r>
    <s v="Extrême-Nord"/>
    <s v="CMR004"/>
    <x v="5"/>
    <s v="CMR004006"/>
    <s v="Soulede_Roua"/>
    <s v="CMR004006006"/>
    <s v="Yes"/>
    <n v="102"/>
    <n v="487"/>
    <s v="No"/>
    <m/>
    <m/>
    <s v="Yes"/>
    <n v="38"/>
    <n v="122"/>
    <s v="Yes"/>
    <n v="13"/>
    <n v="39"/>
    <s v="No"/>
    <m/>
    <s v="No"/>
    <m/>
    <s v="Yes"/>
    <n v="92"/>
    <s v="No"/>
    <m/>
    <s v="Yes"/>
    <n v="10"/>
    <m/>
    <m/>
  </r>
  <r>
    <s v="Extrême-Nord"/>
    <s v="CMR004"/>
    <x v="5"/>
    <s v="CMR004006"/>
    <s v="Bourha"/>
    <s v="CMR004006007"/>
    <s v="Yes"/>
    <n v="18"/>
    <n v="99"/>
    <s v="No"/>
    <m/>
    <m/>
    <s v="Yes"/>
    <n v="8"/>
    <n v="39"/>
    <s v="Yes"/>
    <n v="3"/>
    <n v="12"/>
    <s v="No"/>
    <m/>
    <s v="No"/>
    <m/>
    <s v="Yes"/>
    <n v="10"/>
    <s v="No"/>
    <m/>
    <s v="Yes"/>
    <n v="8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7">
  <r>
    <s v="Extrême-Nord"/>
    <s v="CMR004"/>
    <x v="0"/>
    <s v="CMR004001"/>
    <s v="14,2056792271808"/>
    <s v="10,6478344923364"/>
    <x v="0"/>
    <s v="CMR004001005"/>
    <s v="14,7135247124566"/>
    <s v="10,782926803165"/>
    <x v="0"/>
    <x v="0"/>
    <n v="10"/>
    <n v="57"/>
    <s v="Conflict_ISWA"/>
    <m/>
    <s v="Other_Department"/>
    <s v="CMR"/>
    <s v="Cameroon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1"/>
    <n v="13"/>
    <n v="90"/>
    <s v="Conflict_ISWA"/>
    <m/>
    <s v="Other_Depart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0"/>
    <n v="4"/>
    <n v="27"/>
    <s v="Conflict_ISWA"/>
    <m/>
    <s v="Other_Depart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1"/>
    <n v="24"/>
    <n v="128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0"/>
    <n v="16"/>
    <n v="142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2"/>
    <n v="7"/>
    <n v="36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0"/>
    <n v="29"/>
    <n v="151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1"/>
    <n v="35"/>
    <n v="178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4"/>
    <s v="CMR004001007"/>
    <s v="14,1802203508071"/>
    <s v="10,7670589258642"/>
    <x v="0"/>
    <x v="1"/>
    <n v="20"/>
    <n v="105"/>
    <s v="Conflict_ISWA"/>
    <m/>
    <s v="Other_Department"/>
    <s v="CMR"/>
    <s v="Cameroon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5"/>
    <s v="CMR004001003"/>
    <s v="14,549137854761"/>
    <s v="11,0035065052121"/>
    <x v="0"/>
    <x v="1"/>
    <n v="386"/>
    <n v="2696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3"/>
    <n v="186"/>
    <n v="1783"/>
    <s v="Floods_Natural_Disasters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0"/>
    <n v="212"/>
    <n v="2274"/>
    <s v="Conflict_ISWA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1"/>
    <n v="586"/>
    <n v="2831"/>
    <s v="Conflict_ISWA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4"/>
    <n v="504"/>
    <n v="252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2"/>
    <n v="297"/>
    <n v="1485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0"/>
    <n v="386"/>
    <n v="193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3"/>
    <n v="628"/>
    <n v="3140"/>
    <s v="Floods_Natural_Disasters"/>
    <m/>
    <s v="Other_Department"/>
    <s v="CMR"/>
    <s v="Cameroon"/>
    <s v="CMR004"/>
    <s v="Extrême-Nord"/>
    <s v="CMR004003"/>
    <s v="Mayo-Danay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1"/>
    <n v="209"/>
    <n v="1045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5"/>
    <n v="70"/>
    <n v="35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4"/>
    <n v="725"/>
    <n v="3625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2"/>
    <n v="268"/>
    <n v="134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0"/>
    <n v="200"/>
    <n v="100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1"/>
    <n v="1007"/>
    <n v="5035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2"/>
    <n v="220"/>
    <n v="994"/>
    <s v="Conflict_ISWA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0"/>
    <n v="127"/>
    <n v="635"/>
    <s v="Conflict_ISWA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1"/>
    <n v="120"/>
    <n v="600"/>
    <s v="Conflict_ISWA"/>
    <m/>
    <s v="Other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0"/>
    <s v="CMR004002010"/>
    <s v="14,383"/>
    <s v="12,668"/>
    <x v="0"/>
    <x v="5"/>
    <n v="253"/>
    <n v="1282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4"/>
    <n v="70"/>
    <n v="602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0"/>
    <n v="540"/>
    <n v="3476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1"/>
    <n v="304"/>
    <n v="1560"/>
    <s v="Conflict_ISWA"/>
    <m/>
    <s v="Other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6"/>
    <s v="14,982"/>
    <s v="12,07"/>
    <x v="0"/>
    <x v="2"/>
    <n v="959"/>
    <n v="4661"/>
    <s v="Conflict_ISWA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0"/>
    <n v="2426"/>
    <n v="12128"/>
    <s v="Conflict_ISWA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4"/>
    <n v="392"/>
    <n v="2096"/>
    <s v="Conflict_ISWA"/>
    <m/>
    <s v="Other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2"/>
    <n v="318"/>
    <n v="2277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3"/>
    <n v="102"/>
    <n v="664"/>
    <s v="Floods_Natural_Disasters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0"/>
    <n v="11"/>
    <n v="70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5"/>
    <n v="464"/>
    <n v="3481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4"/>
    <n v="87"/>
    <n v="441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4"/>
    <n v="340"/>
    <n v="170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2"/>
    <n v="3289"/>
    <n v="13672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0"/>
    <n v="765"/>
    <n v="385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1"/>
    <n v="2746"/>
    <n v="16478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5"/>
    <n v="200"/>
    <n v="1000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0"/>
    <n v="329"/>
    <n v="1645"/>
    <s v="Conflict_ISWA"/>
    <m/>
    <s v="Sa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4"/>
    <n v="4"/>
    <n v="20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5"/>
    <s v="CMR004002005"/>
    <s v="15,0513637596863"/>
    <s v="11,2009917117623"/>
    <x v="0"/>
    <x v="2"/>
    <n v="1715"/>
    <n v="8575"/>
    <s v="Floods_Natural_Disasters"/>
    <m/>
    <s v="Other_Depart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3"/>
    <n v="102"/>
    <n v="569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0"/>
    <n v="45"/>
    <n v="245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1"/>
    <n v="89"/>
    <n v="438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0"/>
    <n v="92"/>
    <n v="720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1"/>
    <n v="100"/>
    <n v="500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3"/>
    <n v="45"/>
    <n v="225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5"/>
    <n v="2"/>
    <n v="10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18"/>
    <s v="CMR004003010"/>
    <s v="15,31"/>
    <s v="10,09"/>
    <x v="0"/>
    <x v="3"/>
    <n v="359"/>
    <n v="1795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2"/>
    <n v="16"/>
    <n v="95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0"/>
    <n v="51"/>
    <n v="275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1"/>
    <n v="345"/>
    <n v="2321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3"/>
    <n v="1074"/>
    <n v="8922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3"/>
    <n v="473"/>
    <n v="2522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1"/>
    <n v="41"/>
    <n v="375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2"/>
    <n v="9"/>
    <n v="63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1"/>
    <s v="CMR004003009"/>
    <s v="15,21"/>
    <s v="10,205"/>
    <x v="0"/>
    <x v="3"/>
    <n v="67"/>
    <n v="359"/>
    <s v="Floods_Natural_Disasters"/>
    <m/>
    <s v="Same_Arrondissement"/>
    <s v="CMR"/>
    <s v="Cameroon"/>
    <s v="CMR004"/>
    <s v="Extrême-Nord"/>
    <s v="CMR004003"/>
    <s v="Mayo-Danay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5"/>
    <n v="2"/>
    <n v="19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1"/>
    <n v="2"/>
    <n v="12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0"/>
    <n v="7"/>
    <n v="30"/>
    <s v="Floods_Natural_Disasters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3"/>
    <n v="2"/>
    <n v="15"/>
    <s v="Floods_Natural_Disasters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2"/>
    <n v="12"/>
    <n v="60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1"/>
    <n v="19"/>
    <n v="97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5"/>
    <n v="5"/>
    <n v="25"/>
    <s v="Conflict_ISWA"/>
    <m/>
    <s v="Other_Department"/>
    <s v="CMR"/>
    <s v="Cameroon"/>
    <s v="CMR004"/>
    <s v="Extrême-Nord"/>
    <s v="CMR004006"/>
    <s v="Mayo-Tsanag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5"/>
    <n v="288"/>
    <n v="1438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4"/>
    <n v="160"/>
    <n v="800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2"/>
    <n v="249"/>
    <n v="1712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0"/>
    <n v="200"/>
    <n v="750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1"/>
    <n v="360"/>
    <n v="1700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3"/>
    <n v="164"/>
    <n v="432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5"/>
    <n v="34"/>
    <n v="173"/>
    <s v="Conflict_ISWA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2"/>
    <n v="280"/>
    <n v="1680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4"/>
    <n v="123"/>
    <n v="738"/>
    <s v="Conflict_ISWA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0"/>
    <n v="1851"/>
    <n v="11106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1"/>
    <n v="1412"/>
    <n v="9427"/>
    <s v="Conflict_ISWA"/>
    <m/>
    <s v="Sa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2"/>
    <n v="17"/>
    <n v="78"/>
    <s v="Conflict_ISWA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0"/>
    <n v="34"/>
    <n v="168"/>
    <s v="Conflict_ISWA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5"/>
    <n v="99"/>
    <n v="496"/>
    <s v="Conflict_ISWA"/>
    <m/>
    <s v="Other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1"/>
    <n v="603"/>
    <n v="3016"/>
    <s v="Conflict_ISWA"/>
    <m/>
    <s v="Other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4"/>
    <n v="19"/>
    <n v="99"/>
    <s v="Conflict_ISWA"/>
    <m/>
    <s v="Other_Arrondiss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7"/>
    <s v="13,577"/>
    <s v="10,314"/>
    <x v="0"/>
    <x v="4"/>
    <n v="2"/>
    <n v="17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8"/>
    <s v="CMR004006007"/>
    <s v="13,577"/>
    <s v="10,314"/>
    <x v="0"/>
    <x v="1"/>
    <n v="16"/>
    <n v="82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5"/>
    <n v="6"/>
    <n v="19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0"/>
    <n v="48"/>
    <n v="318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1"/>
    <n v="54"/>
    <n v="412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4"/>
    <s v="13,888"/>
    <s v="10,8833360788299"/>
    <x v="0"/>
    <x v="1"/>
    <n v="686"/>
    <n v="5354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4"/>
    <s v="13,888"/>
    <s v="10,8833360788299"/>
    <x v="0"/>
    <x v="0"/>
    <n v="375"/>
    <n v="3000"/>
    <s v="Conflict_ISWA"/>
    <m/>
    <s v="Other_Arrondissement"/>
    <s v="CMR"/>
    <s v="Cameroon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0"/>
    <s v="CMR004006004"/>
    <s v="13,888"/>
    <s v="10,8833360788299"/>
    <x v="0"/>
    <x v="4"/>
    <n v="21"/>
    <n v="159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4"/>
    <n v="30"/>
    <n v="423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2"/>
    <n v="195"/>
    <n v="1465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0"/>
    <n v="135"/>
    <n v="1050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1"/>
    <n v="243"/>
    <n v="1161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2"/>
    <n v="208"/>
    <n v="1039"/>
    <s v="Conflict_ISWA"/>
    <m/>
    <s v="Other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2"/>
    <s v="CMR004006002"/>
    <s v="13,8672738240395"/>
    <s v="10,61"/>
    <x v="0"/>
    <x v="4"/>
    <n v="105"/>
    <n v="522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1"/>
    <n v="507"/>
    <n v="2538"/>
    <s v="Conflict_ISWA"/>
    <m/>
    <s v="Other_Arrondissement"/>
    <s v="CMR"/>
    <s v="Cameroon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5"/>
    <n v="47"/>
    <n v="235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4"/>
    <n v="106"/>
    <n v="530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0"/>
    <n v="236"/>
    <n v="1180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1"/>
    <n v="644"/>
    <n v="3220"/>
    <s v="Conflict_ISWA"/>
    <m/>
    <s v="Sa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1"/>
    <n v="65"/>
    <n v="320"/>
    <s v="Conflict_ISWA"/>
    <m/>
    <s v="Other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4"/>
    <n v="5"/>
    <n v="20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0"/>
    <n v="32"/>
    <n v="147"/>
    <s v="Conflict_ISWA"/>
    <m/>
    <s v="Other_Depart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1"/>
    <n v="370"/>
    <n v="1850"/>
    <s v="Conflict_ISWA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2"/>
    <n v="341"/>
    <n v="1705"/>
    <s v="Conflict_ISWA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0"/>
    <n v="289"/>
    <n v="1445"/>
    <s v="Conflict_ISWA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0"/>
    <n v="105"/>
    <n v="525"/>
    <s v="Conflict_ISWA"/>
    <m/>
    <s v="Other_Country"/>
    <s v="NGA"/>
    <s v="Nigeria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1"/>
    <n v="271"/>
    <n v="1355"/>
    <s v="Conflict_ISWA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0"/>
    <n v="23"/>
    <n v="125"/>
    <s v="Conflict_ISWA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1"/>
    <n v="22"/>
    <n v="110"/>
    <s v="Conflict_ISWA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1"/>
    <x v="1"/>
    <n v="121"/>
    <n v="605"/>
    <s v="Conflict_ISWA"/>
    <m/>
    <s v="Other_Country"/>
    <s v="NGA"/>
    <s v="Nigeria"/>
    <s v="NGA008"/>
    <s v="Borno"/>
    <m/>
    <m/>
    <m/>
    <m/>
  </r>
  <r>
    <s v="Extrême-Nord"/>
    <s v="CMR004"/>
    <x v="2"/>
    <s v="CMR004003"/>
    <s v="15,1673049098147"/>
    <s v="10,5022992912047"/>
    <x v="21"/>
    <s v="CMR004003009"/>
    <s v="15,21"/>
    <s v="10,205"/>
    <x v="1"/>
    <x v="1"/>
    <n v="1"/>
    <n v="4"/>
    <s v="Other"/>
    <m/>
    <s v="Other_Country"/>
    <s v="TCD"/>
    <s v="Chad"/>
    <s v="TCDXXX"/>
    <s v="Bongor"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1"/>
    <x v="3"/>
    <n v="2"/>
    <n v="10"/>
    <s v="Other"/>
    <m/>
    <s v="Other_Country"/>
    <s v="CAF"/>
    <s v="Centrafrican Republic"/>
    <s v="CAFXXX"/>
    <s v=" "/>
    <m/>
    <m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1"/>
    <x v="1"/>
    <n v="1"/>
    <n v="2"/>
    <s v="Conflict_ISWA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4"/>
    <n v="25"/>
    <n v="122"/>
    <s v="Conflict_ISWA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2"/>
    <n v="39"/>
    <n v="193"/>
    <s v="Conflict_ISWA"/>
    <m/>
    <s v="Other_Country"/>
    <s v="NGA"/>
    <s v="Nigeria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0"/>
    <n v="40"/>
    <n v="200"/>
    <s v="Conflict_ISWA"/>
    <m/>
    <s v="Other_Country"/>
    <s v="NGA"/>
    <s v="Nigeria"/>
    <s v="NGA008"/>
    <s v="Borno"/>
    <m/>
    <m/>
    <m/>
    <m/>
  </r>
  <r>
    <s v="Extrême-Nord"/>
    <s v="CMR004"/>
    <x v="0"/>
    <s v="CMR004001"/>
    <s v="14,2056792271808"/>
    <s v="10,6478344923364"/>
    <x v="36"/>
    <s v="CMR004001004"/>
    <s v="14,520727651665"/>
    <s v="10,4769811572799"/>
    <x v="2"/>
    <x v="5"/>
    <n v="5"/>
    <n v="24"/>
    <m/>
    <m/>
    <s v="Other_Country"/>
    <s v="CAF"/>
    <s v="Centrafrican Republic"/>
    <s v="CAF00X"/>
    <m/>
    <m/>
    <m/>
    <m/>
    <m/>
  </r>
  <r>
    <s v="Extrême-Nord"/>
    <s v="CMR004"/>
    <x v="0"/>
    <s v="CMR004001"/>
    <s v="14,2056792271808"/>
    <s v="10,6478344923364"/>
    <x v="36"/>
    <s v="CMR004001004"/>
    <s v="14,520727651665"/>
    <s v="10,4769811572799"/>
    <x v="2"/>
    <x v="1"/>
    <n v="26"/>
    <n v="144"/>
    <m/>
    <m/>
    <s v="Other_Country"/>
    <s v="TCD"/>
    <s v="Chad"/>
    <s v="TCD002"/>
    <m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4"/>
    <n v="700"/>
    <n v="3500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2"/>
    <n v="478"/>
    <n v="2390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0"/>
    <n v="850"/>
    <n v="4250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0"/>
    <s v="CMR004002010"/>
    <s v="14,383"/>
    <s v="12,668"/>
    <x v="2"/>
    <x v="2"/>
    <n v="327"/>
    <n v="1525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2"/>
    <x v="3"/>
    <n v="88"/>
    <n v="490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2"/>
    <x v="4"/>
    <n v="1060"/>
    <n v="5300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2"/>
    <x v="0"/>
    <n v="15"/>
    <n v="75"/>
    <m/>
    <m/>
    <s v="Same_Country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5"/>
    <s v="CMR004002005"/>
    <s v="15,0513637596863"/>
    <s v="11,2009917117623"/>
    <x v="2"/>
    <x v="2"/>
    <n v="1610"/>
    <n v="8050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1"/>
    <n v="48"/>
    <n v="325"/>
    <m/>
    <m/>
    <s v="Other_Country"/>
    <s v="NGA"/>
    <s v="Nigeria"/>
    <s v="borno"/>
    <m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5"/>
    <n v="10"/>
    <n v="130"/>
    <m/>
    <m/>
    <s v="Same_Country"/>
    <s v="CMR"/>
    <s v="Cameroon"/>
    <s v="CMR005"/>
    <s v="Littoral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4"/>
    <n v="16"/>
    <n v="164"/>
    <m/>
    <m/>
    <s v="Other_Country"/>
    <s v="NGA"/>
    <s v="Nigeria"/>
    <s v="borno"/>
    <m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0"/>
    <n v="23"/>
    <n v="156"/>
    <m/>
    <m/>
    <s v="Same_Country"/>
    <s v="CMR"/>
    <s v="Cameroon"/>
    <s v="CMR005"/>
    <m/>
    <m/>
    <m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2"/>
    <x v="5"/>
    <n v="2"/>
    <n v="10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1"/>
    <n v="404"/>
    <n v="2020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3"/>
    <n v="812"/>
    <n v="4060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2"/>
    <n v="10"/>
    <n v="65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0"/>
    <n v="43"/>
    <n v="205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2"/>
    <x v="0"/>
    <n v="25"/>
    <n v="125"/>
    <m/>
    <m/>
    <s v="Same_Country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21"/>
    <s v="CMR004003009"/>
    <s v="15,21"/>
    <s v="10,205"/>
    <x v="2"/>
    <x v="5"/>
    <n v="3"/>
    <n v="17"/>
    <m/>
    <m/>
    <s v="Same_Country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2"/>
    <x v="1"/>
    <n v="1"/>
    <n v="13"/>
    <m/>
    <m/>
    <s v="Other_Country"/>
    <s v="CAF"/>
    <s v="Centrafrican Republic"/>
    <s v="CAF00X"/>
    <m/>
    <m/>
    <m/>
    <m/>
    <m/>
  </r>
  <r>
    <s v="Extrême-Nord"/>
    <s v="CMR004"/>
    <x v="3"/>
    <s v="CMR004004"/>
    <s v="14,3496549590634"/>
    <s v="10,2734070793451"/>
    <x v="37"/>
    <s v="CMR004004006"/>
    <s v="14,4078563622066"/>
    <s v="10,1509966452917"/>
    <x v="2"/>
    <x v="2"/>
    <n v="4"/>
    <n v="26"/>
    <m/>
    <m/>
    <s v="Same_Country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7"/>
    <s v="CMR004004006"/>
    <s v="14,4078563622066"/>
    <s v="10,1509966452917"/>
    <x v="2"/>
    <x v="0"/>
    <n v="2"/>
    <n v="10"/>
    <m/>
    <m/>
    <s v="Same_Country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3"/>
    <s v="CMR004004007"/>
    <s v="14,456"/>
    <s v="10,396"/>
    <x v="2"/>
    <x v="4"/>
    <n v="4"/>
    <n v="20"/>
    <m/>
    <m/>
    <s v="Same_Country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4"/>
    <n v="3"/>
    <n v="15"/>
    <m/>
    <m/>
    <s v="Other_Country"/>
    <s v="NGA"/>
    <s v="Nigeria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2"/>
    <n v="11"/>
    <n v="55"/>
    <m/>
    <m/>
    <s v="Other_Country"/>
    <s v="NGA"/>
    <s v="Nigeria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0"/>
    <n v="4"/>
    <n v="20"/>
    <m/>
    <m/>
    <s v="Other_Country"/>
    <s v="NGA"/>
    <s v="Nigeria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1"/>
    <n v="2"/>
    <n v="10"/>
    <m/>
    <m/>
    <s v="Other_Country"/>
    <s v="NGA"/>
    <s v="Nigeria"/>
    <s v="borno"/>
    <m/>
    <m/>
    <m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2"/>
    <x v="1"/>
    <n v="4"/>
    <n v="23"/>
    <m/>
    <m/>
    <s v="Same_Country"/>
    <s v="CMR"/>
    <s v="Cameroon"/>
    <s v="CMR004"/>
    <s v="Extrême-Nord"/>
    <m/>
    <m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2"/>
    <x v="5"/>
    <n v="29"/>
    <n v="179"/>
    <m/>
    <m/>
    <s v="Same_Country"/>
    <s v="CMR"/>
    <s v="Cameroon"/>
    <s v="CMR004"/>
    <s v="Extrême-Nord"/>
    <m/>
    <m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2"/>
    <x v="4"/>
    <n v="45"/>
    <n v="270"/>
    <m/>
    <m/>
    <s v="Same_Country"/>
    <s v="CMR"/>
    <s v="Cameroon"/>
    <s v="CMR004"/>
    <s v="Extrême-Nord"/>
    <m/>
    <m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2"/>
    <x v="5"/>
    <n v="25"/>
    <n v="137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1"/>
    <n v="4"/>
    <n v="18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0"/>
    <n v="2"/>
    <n v="9"/>
    <m/>
    <m/>
    <s v="Same_Country"/>
    <s v="CMR"/>
    <s v="Cameroon"/>
    <s v="CMR006"/>
    <s v="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5"/>
    <n v="2"/>
    <n v="12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3"/>
    <s v="13,82"/>
    <s v="10,33"/>
    <x v="2"/>
    <x v="0"/>
    <n v="9"/>
    <n v="63"/>
    <m/>
    <m/>
    <s v="Same_Country"/>
    <s v="CMR"/>
    <s v="Cameroon"/>
    <s v="CMR006"/>
    <s v="Nord"/>
    <m/>
    <m/>
    <m/>
    <m/>
  </r>
  <r>
    <s v="Extrême-Nord"/>
    <s v="CMR004"/>
    <x v="5"/>
    <s v="CMR004006"/>
    <s v="13,784815459887"/>
    <s v="10,8245672347739"/>
    <x v="31"/>
    <s v="CMR004006001"/>
    <s v="13,6335516025623"/>
    <s v="10,53"/>
    <x v="2"/>
    <x v="0"/>
    <n v="49"/>
    <n v="355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1"/>
    <s v="CMR004006001"/>
    <s v="13,6335516025623"/>
    <s v="10,53"/>
    <x v="2"/>
    <x v="5"/>
    <n v="34"/>
    <n v="254"/>
    <m/>
    <m/>
    <s v="Same_Country"/>
    <s v="CMR"/>
    <s v="Cameroon"/>
    <s v="CMR004"/>
    <s v="Extrême-Nord"/>
    <m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1"/>
    <n v="37"/>
    <n v="185"/>
    <m/>
    <m/>
    <s v="Other_Country"/>
    <s v="NGA"/>
    <m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0"/>
    <n v="20"/>
    <n v="100"/>
    <m/>
    <m/>
    <s v="Other_Country"/>
    <s v="NGA"/>
    <m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2"/>
    <n v="29"/>
    <n v="225"/>
    <m/>
    <m/>
    <s v="Other_Country"/>
    <s v="NGA"/>
    <m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4"/>
    <n v="20"/>
    <n v="165"/>
    <m/>
    <m/>
    <s v="Other_Country"/>
    <s v="NGA"/>
    <m/>
    <s v="borno"/>
    <m/>
    <s v="NGA008"/>
    <m/>
    <m/>
    <m/>
  </r>
  <r>
    <s v="Extrême-Nord"/>
    <s v="CMR004"/>
    <x v="5"/>
    <s v="CMR004006"/>
    <s v="13,784815459887"/>
    <s v="10,8245672347739"/>
    <x v="32"/>
    <s v="CMR004006002"/>
    <s v="13,8672738240395"/>
    <s v="10,61"/>
    <x v="2"/>
    <x v="1"/>
    <n v="405"/>
    <n v="2025"/>
    <m/>
    <m/>
    <s v="Other_Country"/>
    <s v="NGA"/>
    <s v="Nigeria"/>
    <s v="borno"/>
    <m/>
    <m/>
    <m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2"/>
    <x v="5"/>
    <n v="41"/>
    <n v="205"/>
    <m/>
    <m/>
    <s v="Same_Country"/>
    <s v="CMR"/>
    <s v="Cameroon"/>
    <s v="CMR006"/>
    <s v="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5"/>
    <n v="10"/>
    <n v="30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4"/>
    <n v="13"/>
    <n v="43"/>
    <m/>
    <m/>
    <s v="Same_Country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0"/>
    <n v="15"/>
    <n v="49"/>
    <m/>
    <m/>
    <s v="Same_Country"/>
    <s v="CMR"/>
    <s v="Cameroon"/>
    <s v="CMR004"/>
    <s v="Extrême-Nord"/>
    <m/>
    <m/>
    <m/>
    <m/>
  </r>
  <r>
    <s v="Extreme-Nord"/>
    <s v="CMR004"/>
    <x v="1"/>
    <s v="CMR004002"/>
    <n v="14.665572467129101"/>
    <n v="12.0078307949001"/>
    <x v="6"/>
    <s v="CMR004002003"/>
    <n v="14.6095404806017"/>
    <n v="12.735839028901699"/>
    <x v="2"/>
    <x v="1"/>
    <n v="28"/>
    <n v="196"/>
    <m/>
    <m/>
    <s v="Other_Country"/>
    <s v="NGA"/>
    <m/>
    <s v="borno"/>
    <m/>
    <s v="NGA008"/>
    <m/>
    <s v="ngala"/>
    <m/>
  </r>
  <r>
    <s v="Extreme-Nord"/>
    <s v="CMR004"/>
    <x v="1"/>
    <s v="CMR004002"/>
    <n v="14.665572467129101"/>
    <n v="12.0078307949001"/>
    <x v="6"/>
    <s v="CMR004002003"/>
    <n v="14.6095404806017"/>
    <n v="12.735839028901699"/>
    <x v="2"/>
    <x v="0"/>
    <n v="30"/>
    <n v="210"/>
    <m/>
    <m/>
    <s v="Other_Country"/>
    <s v="NGA"/>
    <m/>
    <s v="borno"/>
    <m/>
    <s v="NGA008"/>
    <m/>
    <s v="ngala"/>
    <m/>
  </r>
  <r>
    <s v="Extreme-Nord"/>
    <s v="CMR004"/>
    <x v="2"/>
    <s v="CMR004003"/>
    <n v="15.1673049098147"/>
    <n v="10.5022992912047"/>
    <x v="18"/>
    <s v="CMR004003010"/>
    <n v="15.31"/>
    <n v="10.09"/>
    <x v="2"/>
    <x v="3"/>
    <n v="320"/>
    <n v="1495"/>
    <m/>
    <m/>
    <s v="Other_Country"/>
    <s v="TCD"/>
    <m/>
    <s v="TCD011"/>
    <m/>
    <s v="TCD011"/>
    <m/>
    <s v="bongor"/>
    <m/>
  </r>
  <r>
    <s v="Extreme-Nord"/>
    <s v="CMR004"/>
    <x v="5"/>
    <s v="CMR004006"/>
    <n v="13.784815459887"/>
    <n v="10.8245672347739"/>
    <x v="30"/>
    <s v="CMR004006004"/>
    <n v="13.888"/>
    <n v="10.883336078829901"/>
    <x v="2"/>
    <x v="1"/>
    <n v="25"/>
    <n v="153"/>
    <m/>
    <m/>
    <s v="Same_Country"/>
    <s v="NGA"/>
    <m/>
    <s v="borno"/>
    <m/>
    <s v="NGA008"/>
    <m/>
    <m/>
    <m/>
  </r>
  <r>
    <s v="Extreme-Nord"/>
    <s v="CMR004"/>
    <x v="5"/>
    <s v="CMR004006"/>
    <n v="13.784815459887"/>
    <n v="10.8245672347739"/>
    <x v="30"/>
    <s v="CMR004006004"/>
    <n v="13.888"/>
    <n v="10.883336078829901"/>
    <x v="2"/>
    <x v="0"/>
    <n v="11"/>
    <n v="63"/>
    <m/>
    <m/>
    <s v="Same_Country"/>
    <s v="CMR"/>
    <m/>
    <s v="CMR006"/>
    <m/>
    <s v="CMR006003"/>
    <m/>
    <m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3"/>
    <n v="10"/>
    <n v="50"/>
    <m/>
    <m/>
    <s v="Other_Country"/>
    <s v="TCD"/>
    <m/>
    <s v="TCD011"/>
    <m/>
    <s v="TCD011"/>
    <m/>
    <s v="bongor"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1"/>
    <n v="15"/>
    <n v="75"/>
    <m/>
    <m/>
    <s v="Other_Country"/>
    <s v="TCD"/>
    <m/>
    <s v="TCD011"/>
    <m/>
    <s v="TCD011"/>
    <m/>
    <s v="bongor"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0"/>
    <n v="10"/>
    <n v="50"/>
    <m/>
    <m/>
    <s v="Other_Country"/>
    <s v="TCD"/>
    <m/>
    <s v="TCD011"/>
    <m/>
    <s v="TCD011"/>
    <m/>
    <s v="bongor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77">
  <r>
    <s v="Extrême-Nord"/>
    <s v="CMR004"/>
    <x v="0"/>
    <s v="CMR004001"/>
    <s v="14,2056792271808"/>
    <s v="10,6478344923364"/>
    <x v="0"/>
    <s v="CMR004001005"/>
    <s v="14,7135247124566"/>
    <s v="10,782926803165"/>
    <x v="0"/>
    <x v="0"/>
    <n v="10"/>
    <x v="0"/>
    <s v="Conflict_ISWA"/>
    <m/>
    <s v="Other_Department"/>
    <x v="0"/>
    <x v="0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1"/>
    <n v="13"/>
    <x v="1"/>
    <s v="Conflict_ISWA"/>
    <m/>
    <s v="Other_Department"/>
    <x v="0"/>
    <x v="0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1"/>
    <s v="CMR004001008"/>
    <s v="14,0999262428284"/>
    <s v="10,6044426027934"/>
    <x v="0"/>
    <x v="0"/>
    <n v="4"/>
    <x v="2"/>
    <s v="Conflict_ISWA"/>
    <m/>
    <s v="Other_Department"/>
    <x v="0"/>
    <x v="0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1"/>
    <n v="24"/>
    <x v="3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2"/>
    <s v="CMR004001002"/>
    <s v="14,3077917993069"/>
    <s v="10,6267500966788"/>
    <x v="0"/>
    <x v="0"/>
    <n v="16"/>
    <x v="4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2"/>
    <n v="7"/>
    <x v="5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0"/>
    <n v="29"/>
    <x v="6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1"/>
    <s v="14,3905124904441"/>
    <s v="10,8798246555191"/>
    <x v="0"/>
    <x v="1"/>
    <n v="35"/>
    <x v="7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4"/>
    <s v="CMR004001007"/>
    <s v="14,1802203508071"/>
    <s v="10,7670589258642"/>
    <x v="0"/>
    <x v="1"/>
    <n v="20"/>
    <x v="8"/>
    <s v="Conflict_ISWA"/>
    <m/>
    <s v="Other_Department"/>
    <x v="0"/>
    <x v="0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5"/>
    <s v="CMR004001003"/>
    <s v="14,549137854761"/>
    <s v="11,0035065052121"/>
    <x v="0"/>
    <x v="1"/>
    <n v="386"/>
    <x v="9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3"/>
    <n v="186"/>
    <x v="10"/>
    <s v="Floods_Natural_Disasters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0"/>
    <n v="212"/>
    <x v="11"/>
    <s v="Conflict_ISWA"/>
    <m/>
    <s v="Other_Arrondissement"/>
    <x v="0"/>
    <x v="0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6"/>
    <s v="CMR004002003"/>
    <s v="14,6095404806017"/>
    <s v="12,7358390289017"/>
    <x v="0"/>
    <x v="1"/>
    <n v="586"/>
    <x v="12"/>
    <s v="Conflict_ISWA"/>
    <m/>
    <s v="Other_Arrondissement"/>
    <x v="0"/>
    <x v="0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4"/>
    <n v="504"/>
    <x v="13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2"/>
    <n v="297"/>
    <x v="14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0"/>
    <n v="386"/>
    <x v="15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3"/>
    <n v="628"/>
    <x v="16"/>
    <s v="Floods_Natural_Disasters"/>
    <m/>
    <s v="Other_Department"/>
    <x v="0"/>
    <x v="0"/>
    <s v="CMR004"/>
    <s v="Extrême-Nord"/>
    <s v="CMR004003"/>
    <s v="Mayo-Danay"/>
    <m/>
    <m/>
  </r>
  <r>
    <s v="Extrême-Nord"/>
    <s v="CMR004"/>
    <x v="1"/>
    <s v="CMR004002"/>
    <s v="14,6655724671291"/>
    <s v="12,0078307949001"/>
    <x v="7"/>
    <s v="CMR004002007"/>
    <s v="14,4438302405527"/>
    <s v="12,944370751069"/>
    <x v="0"/>
    <x v="1"/>
    <n v="209"/>
    <x v="17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5"/>
    <n v="70"/>
    <x v="18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4"/>
    <n v="725"/>
    <x v="19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2"/>
    <n v="268"/>
    <x v="20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0"/>
    <n v="200"/>
    <x v="21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0"/>
    <x v="1"/>
    <n v="1007"/>
    <x v="22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2"/>
    <n v="220"/>
    <x v="23"/>
    <s v="Conflict_ISWA"/>
    <m/>
    <s v="Other_Arrondissement"/>
    <x v="0"/>
    <x v="0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0"/>
    <n v="127"/>
    <x v="24"/>
    <s v="Conflict_ISWA"/>
    <m/>
    <s v="Other_Arrondissement"/>
    <x v="0"/>
    <x v="0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2"/>
    <s v="14,8175004835099"/>
    <s v="12,4598867162462"/>
    <x v="0"/>
    <x v="1"/>
    <n v="120"/>
    <x v="25"/>
    <s v="Conflict_ISWA"/>
    <m/>
    <s v="Other_Arrondissement"/>
    <x v="0"/>
    <x v="0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0"/>
    <s v="CMR004002010"/>
    <s v="14,383"/>
    <s v="12,668"/>
    <x v="0"/>
    <x v="5"/>
    <n v="253"/>
    <x v="26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4"/>
    <n v="70"/>
    <x v="27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0"/>
    <n v="540"/>
    <x v="28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10"/>
    <s v="14,383"/>
    <s v="12,668"/>
    <x v="0"/>
    <x v="1"/>
    <n v="304"/>
    <x v="29"/>
    <s v="Conflict_ISWA"/>
    <m/>
    <s v="Other_Arrondissement"/>
    <x v="0"/>
    <x v="0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6"/>
    <s v="14,982"/>
    <s v="12,07"/>
    <x v="0"/>
    <x v="2"/>
    <n v="959"/>
    <x v="30"/>
    <s v="Conflict_ISWA"/>
    <m/>
    <s v="Other_Arrondissement"/>
    <x v="0"/>
    <x v="0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0"/>
    <n v="2426"/>
    <x v="31"/>
    <s v="Conflict_ISWA"/>
    <m/>
    <s v="Other_Arrondissement"/>
    <x v="0"/>
    <x v="0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1"/>
    <s v="CMR004002006"/>
    <s v="14,982"/>
    <s v="12,07"/>
    <x v="0"/>
    <x v="4"/>
    <n v="392"/>
    <x v="32"/>
    <s v="Conflict_ISWA"/>
    <m/>
    <s v="Other_Arrondissement"/>
    <x v="0"/>
    <x v="0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2"/>
    <n v="318"/>
    <x v="33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3"/>
    <n v="102"/>
    <x v="34"/>
    <s v="Floods_Natural_Disasters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0"/>
    <n v="11"/>
    <x v="35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5"/>
    <n v="464"/>
    <x v="36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0"/>
    <x v="4"/>
    <n v="87"/>
    <x v="37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4"/>
    <n v="340"/>
    <x v="38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2"/>
    <n v="3289"/>
    <x v="39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0"/>
    <n v="765"/>
    <x v="40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1"/>
    <n v="2746"/>
    <x v="41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0"/>
    <x v="5"/>
    <n v="200"/>
    <x v="21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0"/>
    <n v="329"/>
    <x v="42"/>
    <s v="Conflict_ISWA"/>
    <m/>
    <s v="Same_Arrondissement"/>
    <x v="0"/>
    <x v="0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4"/>
    <s v="CMR004002001"/>
    <s v="14,686"/>
    <s v="11,373"/>
    <x v="0"/>
    <x v="4"/>
    <n v="4"/>
    <x v="43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15"/>
    <s v="CMR004002005"/>
    <s v="15,0513637596863"/>
    <s v="11,2009917117623"/>
    <x v="0"/>
    <x v="2"/>
    <n v="1715"/>
    <x v="44"/>
    <s v="Floods_Natural_Disasters"/>
    <m/>
    <s v="Other_Depart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3"/>
    <n v="102"/>
    <x v="45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0"/>
    <n v="45"/>
    <x v="46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1"/>
    <s v="15,47"/>
    <s v="10,03"/>
    <x v="0"/>
    <x v="1"/>
    <n v="89"/>
    <x v="47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0"/>
    <n v="92"/>
    <x v="48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1"/>
    <n v="100"/>
    <x v="49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3"/>
    <n v="45"/>
    <x v="50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0"/>
    <x v="5"/>
    <n v="2"/>
    <x v="51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18"/>
    <s v="CMR004003010"/>
    <s v="15,31"/>
    <s v="10,09"/>
    <x v="0"/>
    <x v="3"/>
    <n v="359"/>
    <x v="52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2"/>
    <n v="16"/>
    <x v="53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0"/>
    <n v="51"/>
    <x v="54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1"/>
    <n v="345"/>
    <x v="55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0"/>
    <x v="3"/>
    <n v="1074"/>
    <x v="56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3"/>
    <n v="473"/>
    <x v="57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1"/>
    <n v="41"/>
    <x v="58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0"/>
    <x v="2"/>
    <n v="9"/>
    <x v="59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21"/>
    <s v="CMR004003009"/>
    <s v="15,21"/>
    <s v="10,205"/>
    <x v="0"/>
    <x v="3"/>
    <n v="67"/>
    <x v="60"/>
    <s v="Floods_Natural_Disasters"/>
    <m/>
    <s v="Same_Arrondissement"/>
    <x v="0"/>
    <x v="0"/>
    <s v="CMR004"/>
    <s v="Extrême-Nord"/>
    <s v="CMR004003"/>
    <s v="Mayo-Danay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5"/>
    <n v="2"/>
    <x v="61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0"/>
    <x v="1"/>
    <n v="2"/>
    <x v="62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0"/>
    <n v="7"/>
    <x v="63"/>
    <s v="Floods_Natural_Disasters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3"/>
    <s v="CMR004004007"/>
    <s v="14,456"/>
    <s v="10,396"/>
    <x v="0"/>
    <x v="3"/>
    <n v="2"/>
    <x v="64"/>
    <s v="Floods_Natural_Disasters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2"/>
    <n v="12"/>
    <x v="65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1"/>
    <n v="19"/>
    <x v="66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0"/>
    <x v="5"/>
    <n v="5"/>
    <x v="67"/>
    <s v="Conflict_ISWA"/>
    <m/>
    <s v="Other_Department"/>
    <x v="0"/>
    <x v="0"/>
    <s v="CMR004"/>
    <s v="Extrême-Nord"/>
    <s v="CMR004006"/>
    <s v="Mayo-Tsanag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5"/>
    <n v="288"/>
    <x v="68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4"/>
    <n v="160"/>
    <x v="69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2"/>
    <n v="249"/>
    <x v="70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0"/>
    <n v="200"/>
    <x v="71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0"/>
    <x v="1"/>
    <n v="360"/>
    <x v="38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3"/>
    <n v="164"/>
    <x v="72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5"/>
    <n v="34"/>
    <x v="73"/>
    <s v="Other"/>
    <m/>
    <s v="Other_Arrondissement"/>
    <x v="0"/>
    <x v="0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2"/>
    <n v="280"/>
    <x v="74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4"/>
    <n v="123"/>
    <x v="75"/>
    <s v="Conflict_ISWA"/>
    <m/>
    <s v="Other_Arrondissement"/>
    <x v="0"/>
    <x v="0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0"/>
    <n v="1851"/>
    <x v="76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0"/>
    <x v="1"/>
    <n v="1412"/>
    <x v="77"/>
    <s v="Conflict_ISWA"/>
    <m/>
    <s v="Same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2"/>
    <n v="17"/>
    <x v="78"/>
    <s v="Conflict_ISWA"/>
    <m/>
    <s v="Other_Arrondissement"/>
    <x v="0"/>
    <x v="0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0"/>
    <n v="34"/>
    <x v="79"/>
    <s v="Conflict_ISWA"/>
    <m/>
    <s v="Other_Arrondissement"/>
    <x v="0"/>
    <x v="0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5"/>
    <n v="99"/>
    <x v="80"/>
    <s v="Conflict_ISWA"/>
    <m/>
    <s v="Other_Arrondissement"/>
    <x v="0"/>
    <x v="0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0"/>
    <x v="1"/>
    <n v="603"/>
    <x v="81"/>
    <s v="Conflict_ISWA"/>
    <m/>
    <s v="Other_Arrondissement"/>
    <x v="0"/>
    <x v="0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7"/>
    <s v="CMR004005003"/>
    <s v="14,135"/>
    <s v="10,8795943260193"/>
    <x v="0"/>
    <x v="4"/>
    <n v="19"/>
    <x v="82"/>
    <s v="Conflict_ISWA"/>
    <m/>
    <s v="Other_Arrondissement"/>
    <x v="0"/>
    <x v="0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7"/>
    <s v="13,577"/>
    <s v="10,314"/>
    <x v="0"/>
    <x v="4"/>
    <n v="2"/>
    <x v="83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8"/>
    <s v="CMR004006007"/>
    <s v="13,577"/>
    <s v="10,314"/>
    <x v="0"/>
    <x v="1"/>
    <n v="16"/>
    <x v="84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5"/>
    <n v="6"/>
    <x v="61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0"/>
    <n v="48"/>
    <x v="85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3"/>
    <s v="13,82"/>
    <s v="10,33"/>
    <x v="0"/>
    <x v="1"/>
    <n v="54"/>
    <x v="86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4"/>
    <s v="13,888"/>
    <s v="10,8833360788299"/>
    <x v="0"/>
    <x v="1"/>
    <n v="686"/>
    <x v="87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4"/>
    <s v="13,888"/>
    <s v="10,8833360788299"/>
    <x v="0"/>
    <x v="0"/>
    <n v="375"/>
    <x v="88"/>
    <s v="Conflict_ISWA"/>
    <m/>
    <s v="Other_Arrondissement"/>
    <x v="0"/>
    <x v="0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0"/>
    <s v="CMR004006004"/>
    <s v="13,888"/>
    <s v="10,8833360788299"/>
    <x v="0"/>
    <x v="4"/>
    <n v="21"/>
    <x v="89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4"/>
    <n v="30"/>
    <x v="90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2"/>
    <n v="195"/>
    <x v="91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0"/>
    <n v="135"/>
    <x v="92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1"/>
    <s v="CMR004006001"/>
    <s v="13,6335516025623"/>
    <s v="10,53"/>
    <x v="0"/>
    <x v="1"/>
    <n v="243"/>
    <x v="93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2"/>
    <n v="208"/>
    <x v="94"/>
    <s v="Conflict_ISWA"/>
    <m/>
    <s v="Other_Arrondissement"/>
    <x v="0"/>
    <x v="0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2"/>
    <s v="CMR004006002"/>
    <s v="13,8672738240395"/>
    <s v="10,61"/>
    <x v="0"/>
    <x v="4"/>
    <n v="105"/>
    <x v="95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2"/>
    <s v="CMR004006002"/>
    <s v="13,8672738240395"/>
    <s v="10,61"/>
    <x v="0"/>
    <x v="1"/>
    <n v="507"/>
    <x v="96"/>
    <s v="Conflict_ISWA"/>
    <m/>
    <s v="Other_Arrondissement"/>
    <x v="0"/>
    <x v="0"/>
    <s v="CMR004"/>
    <s v="Extrême-Nord"/>
    <s v="CMR004006"/>
    <s v="Mayo-Tsanaga"/>
    <s v="CMR004006004"/>
    <s v="Koza"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5"/>
    <n v="47"/>
    <x v="97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4"/>
    <n v="106"/>
    <x v="98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0"/>
    <n v="236"/>
    <x v="99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0"/>
    <x v="1"/>
    <n v="644"/>
    <x v="100"/>
    <s v="Conflict_ISWA"/>
    <m/>
    <s v="Same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1"/>
    <n v="65"/>
    <x v="101"/>
    <s v="Conflict_ISWA"/>
    <m/>
    <s v="Other_Arrondissement"/>
    <x v="0"/>
    <x v="0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4"/>
    <n v="5"/>
    <x v="43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4"/>
    <s v="CMR004006006"/>
    <s v="13,971"/>
    <s v="10,773"/>
    <x v="0"/>
    <x v="0"/>
    <n v="32"/>
    <x v="102"/>
    <s v="Conflict_ISWA"/>
    <m/>
    <s v="Other_Department"/>
    <x v="0"/>
    <x v="0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1"/>
    <n v="370"/>
    <x v="103"/>
    <s v="Conflict_ISWA"/>
    <m/>
    <s v="Other_Country"/>
    <x v="1"/>
    <x v="1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2"/>
    <n v="341"/>
    <x v="104"/>
    <s v="Conflict_ISWA"/>
    <m/>
    <s v="Other_Country"/>
    <x v="1"/>
    <x v="1"/>
    <s v="NGA008"/>
    <s v="Borno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1"/>
    <x v="0"/>
    <n v="289"/>
    <x v="105"/>
    <s v="Conflict_ISWA"/>
    <m/>
    <s v="Other_Country"/>
    <x v="1"/>
    <x v="1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0"/>
    <n v="105"/>
    <x v="106"/>
    <s v="Conflict_ISWA"/>
    <m/>
    <s v="Other_Country"/>
    <x v="1"/>
    <x v="1"/>
    <s v="NGA008"/>
    <s v="Borno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1"/>
    <x v="1"/>
    <n v="271"/>
    <x v="107"/>
    <s v="Conflict_ISWA"/>
    <m/>
    <s v="Other_Country"/>
    <x v="1"/>
    <x v="1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0"/>
    <n v="23"/>
    <x v="108"/>
    <s v="Conflict_ISWA"/>
    <m/>
    <s v="Other_Country"/>
    <x v="1"/>
    <x v="1"/>
    <s v="NGA008"/>
    <s v="Borno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1"/>
    <x v="1"/>
    <n v="22"/>
    <x v="109"/>
    <s v="Conflict_ISWA"/>
    <m/>
    <s v="Other_Country"/>
    <x v="1"/>
    <x v="1"/>
    <s v="NGA008"/>
    <s v="Borno"/>
    <m/>
    <m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1"/>
    <x v="1"/>
    <n v="121"/>
    <x v="110"/>
    <s v="Conflict_ISWA"/>
    <m/>
    <s v="Other_Country"/>
    <x v="1"/>
    <x v="1"/>
    <s v="NGA008"/>
    <s v="Borno"/>
    <m/>
    <m/>
    <m/>
    <m/>
  </r>
  <r>
    <s v="Extrême-Nord"/>
    <s v="CMR004"/>
    <x v="2"/>
    <s v="CMR004003"/>
    <s v="15,1673049098147"/>
    <s v="10,5022992912047"/>
    <x v="21"/>
    <s v="CMR004003009"/>
    <s v="15,21"/>
    <s v="10,205"/>
    <x v="1"/>
    <x v="1"/>
    <n v="1"/>
    <x v="111"/>
    <s v="Other"/>
    <s v="Conflict_Ethnic "/>
    <s v="Other_Country"/>
    <x v="2"/>
    <x v="2"/>
    <s v="TCDXXX"/>
    <s v="Bongor"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1"/>
    <x v="3"/>
    <n v="2"/>
    <x v="51"/>
    <s v="Other"/>
    <s v="Armed Conflict"/>
    <s v="Other_Country"/>
    <x v="3"/>
    <x v="3"/>
    <s v="CAFXXX"/>
    <s v=" "/>
    <m/>
    <m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1"/>
    <x v="1"/>
    <n v="1"/>
    <x v="112"/>
    <s v="Conflict_ISWA"/>
    <m/>
    <s v="Other_Country"/>
    <x v="1"/>
    <x v="1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4"/>
    <n v="25"/>
    <x v="113"/>
    <s v="Conflict_ISWA"/>
    <m/>
    <s v="Other_Country"/>
    <x v="1"/>
    <x v="1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2"/>
    <n v="39"/>
    <x v="114"/>
    <s v="Conflict_ISWA"/>
    <m/>
    <s v="Other_Country"/>
    <x v="1"/>
    <x v="1"/>
    <s v="NGA008"/>
    <s v="Borno"/>
    <m/>
    <m/>
    <m/>
    <m/>
  </r>
  <r>
    <s v="Extrême-Nord"/>
    <s v="CMR004"/>
    <x v="4"/>
    <s v="CMR004005"/>
    <s v="14,0498208648858"/>
    <s v="11,2301368828764"/>
    <x v="25"/>
    <s v="CMR004005001"/>
    <s v="14,0217858361781"/>
    <s v="11,1923807577906"/>
    <x v="1"/>
    <x v="0"/>
    <n v="40"/>
    <x v="115"/>
    <s v="Conflict_ISWA"/>
    <m/>
    <s v="Other_Country"/>
    <x v="1"/>
    <x v="1"/>
    <s v="NGA008"/>
    <s v="Borno"/>
    <m/>
    <m/>
    <m/>
    <m/>
  </r>
  <r>
    <s v="Extrême-Nord"/>
    <s v="CMR004"/>
    <x v="0"/>
    <s v="CMR004001"/>
    <s v="14,2056792271808"/>
    <s v="10,6478344923364"/>
    <x v="36"/>
    <s v="CMR004001004"/>
    <s v="14,520727651665"/>
    <s v="10,4769811572799"/>
    <x v="2"/>
    <x v="5"/>
    <n v="5"/>
    <x v="116"/>
    <m/>
    <m/>
    <s v="Other_Country"/>
    <x v="3"/>
    <x v="3"/>
    <s v="CAF00X"/>
    <m/>
    <m/>
    <m/>
    <m/>
    <m/>
  </r>
  <r>
    <s v="Extrême-Nord"/>
    <s v="CMR004"/>
    <x v="0"/>
    <s v="CMR004001"/>
    <s v="14,2056792271808"/>
    <s v="10,6478344923364"/>
    <x v="36"/>
    <s v="CMR004001004"/>
    <s v="14,520727651665"/>
    <s v="10,4769811572799"/>
    <x v="2"/>
    <x v="1"/>
    <n v="26"/>
    <x v="117"/>
    <m/>
    <m/>
    <s v="Other_Country"/>
    <x v="2"/>
    <x v="2"/>
    <s v="TCD002"/>
    <m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4"/>
    <n v="700"/>
    <x v="118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2"/>
    <n v="478"/>
    <x v="119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08"/>
    <s v="14,2847188436956"/>
    <s v="12,4454764511626"/>
    <x v="2"/>
    <x v="0"/>
    <n v="850"/>
    <x v="120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10"/>
    <s v="CMR004002010"/>
    <s v="14,383"/>
    <s v="12,668"/>
    <x v="2"/>
    <x v="2"/>
    <n v="327"/>
    <x v="121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4"/>
    <s v="14,9045330320428"/>
    <s v="11,8386314013971"/>
    <x v="2"/>
    <x v="3"/>
    <n v="88"/>
    <x v="122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9"/>
    <s v="14,5959484772777"/>
    <s v="12,2797349012083"/>
    <x v="2"/>
    <x v="4"/>
    <n v="1060"/>
    <x v="123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14"/>
    <s v="CMR004002001"/>
    <s v="14,686"/>
    <s v="11,373"/>
    <x v="2"/>
    <x v="0"/>
    <n v="15"/>
    <x v="124"/>
    <m/>
    <m/>
    <s v="Same_Country"/>
    <x v="0"/>
    <x v="0"/>
    <s v="CMR004"/>
    <s v="Extrême-Nord"/>
    <m/>
    <m/>
    <m/>
    <m/>
  </r>
  <r>
    <s v="Extrême-Nord"/>
    <s v="CMR004"/>
    <x v="1"/>
    <s v="CMR004002"/>
    <s v="14,6655724671291"/>
    <s v="12,0078307949001"/>
    <x v="15"/>
    <s v="CMR004002005"/>
    <s v="15,0513637596863"/>
    <s v="11,2009917117623"/>
    <x v="2"/>
    <x v="2"/>
    <n v="1610"/>
    <x v="125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1"/>
    <n v="48"/>
    <x v="126"/>
    <m/>
    <m/>
    <s v="Other_Country"/>
    <x v="1"/>
    <x v="1"/>
    <s v="borno"/>
    <m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5"/>
    <n v="10"/>
    <x v="127"/>
    <m/>
    <m/>
    <s v="Same_Country"/>
    <x v="0"/>
    <x v="0"/>
    <s v="CMR005"/>
    <s v="Littoral"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4"/>
    <n v="16"/>
    <x v="128"/>
    <m/>
    <m/>
    <s v="Other_Country"/>
    <x v="1"/>
    <x v="1"/>
    <s v="borno"/>
    <m/>
    <m/>
    <m/>
    <m/>
    <m/>
  </r>
  <r>
    <s v="Extrême-Nord"/>
    <s v="CMR004"/>
    <x v="2"/>
    <s v="CMR004003"/>
    <s v="15,1673049098147"/>
    <s v="10,5022992912047"/>
    <x v="16"/>
    <s v="CMR004003011"/>
    <s v="15,47"/>
    <s v="10,03"/>
    <x v="2"/>
    <x v="0"/>
    <n v="23"/>
    <x v="129"/>
    <m/>
    <m/>
    <s v="Same_Country"/>
    <x v="0"/>
    <x v="0"/>
    <s v="CMR005"/>
    <m/>
    <m/>
    <m/>
    <m/>
    <m/>
  </r>
  <r>
    <s v="Extrême-Nord"/>
    <s v="CMR004"/>
    <x v="2"/>
    <s v="CMR004003"/>
    <s v="15,1673049098147"/>
    <s v="10,5022992912047"/>
    <x v="17"/>
    <s v="CMR004003006"/>
    <s v="15,1379772569768"/>
    <s v="10,4758260817755"/>
    <x v="2"/>
    <x v="5"/>
    <n v="2"/>
    <x v="51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1"/>
    <n v="404"/>
    <x v="130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3"/>
    <n v="812"/>
    <x v="131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2"/>
    <n v="10"/>
    <x v="132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19"/>
    <s v="CMR004003001"/>
    <s v="15,0342328127693"/>
    <s v="10,6594164062949"/>
    <x v="2"/>
    <x v="0"/>
    <n v="43"/>
    <x v="133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20"/>
    <s v="CMR004003002"/>
    <s v="14,9965692598795"/>
    <s v="10,9114627592343"/>
    <x v="2"/>
    <x v="0"/>
    <n v="25"/>
    <x v="108"/>
    <m/>
    <m/>
    <s v="Same_Country"/>
    <x v="0"/>
    <x v="0"/>
    <s v="CMR004"/>
    <s v="Extrême-Nord"/>
    <m/>
    <m/>
    <m/>
    <m/>
  </r>
  <r>
    <s v="Extrême-Nord"/>
    <s v="CMR004"/>
    <x v="2"/>
    <s v="CMR004003"/>
    <s v="15,1673049098147"/>
    <s v="10,5022992912047"/>
    <x v="21"/>
    <s v="CMR004003009"/>
    <s v="15,21"/>
    <s v="10,205"/>
    <x v="2"/>
    <x v="5"/>
    <n v="3"/>
    <x v="83"/>
    <m/>
    <m/>
    <s v="Same_Country"/>
    <x v="0"/>
    <x v="0"/>
    <s v="CMR004"/>
    <s v="Extrême-Nord"/>
    <m/>
    <m/>
    <m/>
    <m/>
  </r>
  <r>
    <s v="Extrême-Nord"/>
    <s v="CMR004"/>
    <x v="3"/>
    <s v="CMR004004"/>
    <s v="14,3496549590634"/>
    <s v="10,2734070793451"/>
    <x v="22"/>
    <s v="CMR004004001"/>
    <s v="14,6881575102217"/>
    <s v="10,0852744820413"/>
    <x v="2"/>
    <x v="1"/>
    <n v="1"/>
    <x v="134"/>
    <m/>
    <m/>
    <s v="Other_Country"/>
    <x v="3"/>
    <x v="3"/>
    <s v="CAF00X"/>
    <m/>
    <m/>
    <m/>
    <m/>
    <m/>
  </r>
  <r>
    <s v="Extrême-Nord"/>
    <s v="CMR004"/>
    <x v="3"/>
    <s v="CMR004004"/>
    <s v="14,3496549590634"/>
    <s v="10,2734070793451"/>
    <x v="37"/>
    <s v="CMR004004006"/>
    <s v="14,4078563622066"/>
    <s v="10,1509966452917"/>
    <x v="2"/>
    <x v="2"/>
    <n v="4"/>
    <x v="135"/>
    <m/>
    <m/>
    <s v="Same_Country"/>
    <x v="0"/>
    <x v="0"/>
    <s v="CMR004"/>
    <s v="Extrême-Nord"/>
    <m/>
    <m/>
    <m/>
    <m/>
  </r>
  <r>
    <s v="Extrême-Nord"/>
    <s v="CMR004"/>
    <x v="3"/>
    <s v="CMR004004"/>
    <s v="14,3496549590634"/>
    <s v="10,2734070793451"/>
    <x v="37"/>
    <s v="CMR004004006"/>
    <s v="14,4078563622066"/>
    <s v="10,1509966452917"/>
    <x v="2"/>
    <x v="0"/>
    <n v="2"/>
    <x v="51"/>
    <m/>
    <m/>
    <s v="Same_Country"/>
    <x v="0"/>
    <x v="0"/>
    <s v="CMR004"/>
    <s v="Extrême-Nord"/>
    <m/>
    <m/>
    <m/>
    <m/>
  </r>
  <r>
    <s v="Extrême-Nord"/>
    <s v="CMR004"/>
    <x v="3"/>
    <s v="CMR004004"/>
    <s v="14,3496549590634"/>
    <s v="10,2734070793451"/>
    <x v="23"/>
    <s v="CMR004004007"/>
    <s v="14,456"/>
    <s v="10,396"/>
    <x v="2"/>
    <x v="4"/>
    <n v="4"/>
    <x v="43"/>
    <m/>
    <m/>
    <s v="Same_Country"/>
    <x v="0"/>
    <x v="0"/>
    <s v="CMR004"/>
    <s v="Extrême-Nord"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4"/>
    <n v="3"/>
    <x v="64"/>
    <m/>
    <m/>
    <s v="Other_Country"/>
    <x v="1"/>
    <x v="1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2"/>
    <n v="11"/>
    <x v="136"/>
    <m/>
    <m/>
    <s v="Other_Country"/>
    <x v="1"/>
    <x v="1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0"/>
    <n v="4"/>
    <x v="43"/>
    <m/>
    <m/>
    <s v="Other_Country"/>
    <x v="1"/>
    <x v="1"/>
    <s v="borno"/>
    <m/>
    <m/>
    <m/>
    <m/>
    <m/>
  </r>
  <r>
    <s v="Extrême-Nord"/>
    <s v="CMR004"/>
    <x v="3"/>
    <s v="CMR004004"/>
    <s v="14,3496549590634"/>
    <s v="10,2734070793451"/>
    <x v="35"/>
    <s v="CMR004004002"/>
    <s v="14,8099692163389"/>
    <s v="10,3857956720778"/>
    <x v="2"/>
    <x v="1"/>
    <n v="2"/>
    <x v="51"/>
    <m/>
    <m/>
    <s v="Other_Country"/>
    <x v="1"/>
    <x v="1"/>
    <s v="borno"/>
    <m/>
    <m/>
    <m/>
    <m/>
    <m/>
  </r>
  <r>
    <s v="Extrême-Nord"/>
    <s v="CMR004"/>
    <x v="3"/>
    <s v="CMR004004"/>
    <s v="14,3496549590634"/>
    <s v="10,2734070793451"/>
    <x v="24"/>
    <s v="CMR004004005"/>
    <s v="14,1666593134403"/>
    <s v="10,2194649517536"/>
    <x v="2"/>
    <x v="1"/>
    <n v="4"/>
    <x v="137"/>
    <m/>
    <m/>
    <s v="Same_Country"/>
    <x v="0"/>
    <x v="0"/>
    <s v="CMR004"/>
    <s v="Extrême-Nord"/>
    <m/>
    <m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2"/>
    <x v="5"/>
    <n v="29"/>
    <x v="138"/>
    <m/>
    <m/>
    <s v="Same_Country"/>
    <x v="0"/>
    <x v="0"/>
    <s v="CMR004"/>
    <s v="Extrême-Nord"/>
    <m/>
    <m/>
    <m/>
    <m/>
  </r>
  <r>
    <s v="Extrême-Nord"/>
    <s v="CMR004"/>
    <x v="4"/>
    <s v="CMR004005"/>
    <s v="14,0498208648858"/>
    <s v="11,2301368828764"/>
    <x v="26"/>
    <s v="CMR004005002"/>
    <s v="14,3096871946169"/>
    <s v="11,0988943732303"/>
    <x v="2"/>
    <x v="4"/>
    <n v="45"/>
    <x v="139"/>
    <m/>
    <m/>
    <s v="Same_Country"/>
    <x v="0"/>
    <x v="0"/>
    <s v="CMR004"/>
    <s v="Extrême-Nord"/>
    <m/>
    <m/>
    <m/>
    <m/>
  </r>
  <r>
    <s v="Extrême-Nord"/>
    <s v="CMR004"/>
    <x v="4"/>
    <s v="CMR004005"/>
    <s v="14,0498208648858"/>
    <s v="11,2301368828764"/>
    <x v="27"/>
    <s v="CMR004005003"/>
    <s v="14,135"/>
    <s v="10,8795943260193"/>
    <x v="2"/>
    <x v="5"/>
    <n v="25"/>
    <x v="140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1"/>
    <n v="4"/>
    <x v="141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0"/>
    <n v="2"/>
    <x v="142"/>
    <m/>
    <m/>
    <s v="Same_Country"/>
    <x v="0"/>
    <x v="0"/>
    <s v="CMR006"/>
    <s v="Nord"/>
    <m/>
    <m/>
    <m/>
    <m/>
  </r>
  <r>
    <s v="Extrême-Nord"/>
    <s v="CMR004"/>
    <x v="5"/>
    <s v="CMR004006"/>
    <s v="13,784815459887"/>
    <s v="10,8245672347739"/>
    <x v="28"/>
    <s v="CMR004006007"/>
    <s v="13,577"/>
    <s v="10,314"/>
    <x v="2"/>
    <x v="5"/>
    <n v="2"/>
    <x v="62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3"/>
    <s v="13,82"/>
    <s v="10,33"/>
    <x v="2"/>
    <x v="0"/>
    <n v="9"/>
    <x v="59"/>
    <m/>
    <m/>
    <s v="Same_Country"/>
    <x v="0"/>
    <x v="0"/>
    <s v="CMR006"/>
    <s v="Nord"/>
    <m/>
    <m/>
    <m/>
    <m/>
  </r>
  <r>
    <s v="Extrême-Nord"/>
    <s v="CMR004"/>
    <x v="5"/>
    <s v="CMR004006"/>
    <s v="13,784815459887"/>
    <s v="10,8245672347739"/>
    <x v="31"/>
    <s v="CMR004006001"/>
    <s v="13,6335516025623"/>
    <s v="10,53"/>
    <x v="2"/>
    <x v="0"/>
    <n v="49"/>
    <x v="143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31"/>
    <s v="CMR004006001"/>
    <s v="13,6335516025623"/>
    <s v="10,53"/>
    <x v="2"/>
    <x v="5"/>
    <n v="34"/>
    <x v="144"/>
    <m/>
    <m/>
    <s v="Same_Country"/>
    <x v="0"/>
    <x v="0"/>
    <s v="CMR004"/>
    <s v="Extrême-Nord"/>
    <m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1"/>
    <n v="37"/>
    <x v="145"/>
    <m/>
    <m/>
    <s v="Other_Country"/>
    <x v="1"/>
    <x v="4"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0"/>
    <n v="20"/>
    <x v="146"/>
    <m/>
    <m/>
    <s v="Other_Country"/>
    <x v="1"/>
    <x v="4"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2"/>
    <n v="29"/>
    <x v="50"/>
    <m/>
    <m/>
    <s v="Other_Country"/>
    <x v="1"/>
    <x v="4"/>
    <s v="borno"/>
    <m/>
    <s v="NGA008"/>
    <m/>
    <m/>
    <m/>
  </r>
  <r>
    <s v="Extreme-Nord"/>
    <s v="CMR004"/>
    <x v="5"/>
    <s v="CMR004006"/>
    <n v="13.784815459887"/>
    <n v="10.8245672347739"/>
    <x v="31"/>
    <s v="CMR004006001"/>
    <n v="13.633551602562299"/>
    <n v="10.53"/>
    <x v="2"/>
    <x v="4"/>
    <n v="20"/>
    <x v="147"/>
    <m/>
    <m/>
    <s v="Other_Country"/>
    <x v="1"/>
    <x v="4"/>
    <s v="borno"/>
    <m/>
    <s v="NGA008"/>
    <m/>
    <m/>
    <m/>
  </r>
  <r>
    <s v="Extrême-Nord"/>
    <s v="CMR004"/>
    <x v="5"/>
    <s v="CMR004006"/>
    <s v="13,784815459887"/>
    <s v="10,8245672347739"/>
    <x v="32"/>
    <s v="CMR004006002"/>
    <s v="13,8672738240395"/>
    <s v="10,61"/>
    <x v="2"/>
    <x v="1"/>
    <n v="405"/>
    <x v="148"/>
    <m/>
    <m/>
    <s v="Other_Country"/>
    <x v="1"/>
    <x v="1"/>
    <s v="borno"/>
    <m/>
    <m/>
    <m/>
    <m/>
    <m/>
  </r>
  <r>
    <s v="Extrême-Nord"/>
    <s v="CMR004"/>
    <x v="5"/>
    <s v="CMR004006"/>
    <s v="13,784815459887"/>
    <s v="10,8245672347739"/>
    <x v="33"/>
    <s v="CMR004006005"/>
    <s v="13,9099211270296"/>
    <s v="11,0553693529926"/>
    <x v="2"/>
    <x v="5"/>
    <n v="41"/>
    <x v="133"/>
    <m/>
    <m/>
    <s v="Same_Country"/>
    <x v="0"/>
    <x v="0"/>
    <s v="CMR006"/>
    <s v="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5"/>
    <n v="10"/>
    <x v="63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4"/>
    <n v="13"/>
    <x v="149"/>
    <m/>
    <m/>
    <s v="Same_Country"/>
    <x v="0"/>
    <x v="0"/>
    <s v="CMR004"/>
    <s v="Extrême-Nord"/>
    <m/>
    <m/>
    <m/>
    <m/>
  </r>
  <r>
    <s v="Extrême-Nord"/>
    <s v="CMR004"/>
    <x v="5"/>
    <s v="CMR004006"/>
    <s v="13,784815459887"/>
    <s v="10,8245672347739"/>
    <x v="34"/>
    <s v="CMR004006006"/>
    <s v="13,971"/>
    <s v="10,773"/>
    <x v="2"/>
    <x v="0"/>
    <n v="15"/>
    <x v="150"/>
    <m/>
    <m/>
    <s v="Same_Country"/>
    <x v="0"/>
    <x v="0"/>
    <s v="CMR004"/>
    <s v="Extrême-Nord"/>
    <m/>
    <m/>
    <m/>
    <m/>
  </r>
  <r>
    <s v="Extreme-Nord"/>
    <s v="CMR004"/>
    <x v="1"/>
    <s v="CMR004002"/>
    <n v="14.665572467129101"/>
    <n v="12.0078307949001"/>
    <x v="6"/>
    <s v="CMR004002003"/>
    <n v="14.6095404806017"/>
    <n v="12.735839028901699"/>
    <x v="2"/>
    <x v="1"/>
    <n v="28"/>
    <x v="151"/>
    <m/>
    <m/>
    <s v="Other_Country"/>
    <x v="1"/>
    <x v="4"/>
    <s v="borno"/>
    <m/>
    <s v="NGA008"/>
    <m/>
    <s v="ngala"/>
    <m/>
  </r>
  <r>
    <s v="Extreme-Nord"/>
    <s v="CMR004"/>
    <x v="1"/>
    <s v="CMR004002"/>
    <n v="14.665572467129101"/>
    <n v="12.0078307949001"/>
    <x v="6"/>
    <s v="CMR004002003"/>
    <n v="14.6095404806017"/>
    <n v="12.735839028901699"/>
    <x v="2"/>
    <x v="0"/>
    <n v="30"/>
    <x v="152"/>
    <m/>
    <m/>
    <s v="Other_Country"/>
    <x v="1"/>
    <x v="4"/>
    <s v="borno"/>
    <m/>
    <s v="NGA008"/>
    <m/>
    <s v="ngala"/>
    <m/>
  </r>
  <r>
    <s v="Extreme-Nord"/>
    <s v="CMR004"/>
    <x v="2"/>
    <s v="CMR004003"/>
    <n v="15.1673049098147"/>
    <n v="10.5022992912047"/>
    <x v="18"/>
    <s v="CMR004003010"/>
    <n v="15.31"/>
    <n v="10.09"/>
    <x v="2"/>
    <x v="3"/>
    <n v="320"/>
    <x v="153"/>
    <m/>
    <m/>
    <s v="Other_Country"/>
    <x v="2"/>
    <x v="4"/>
    <s v="TCD011"/>
    <m/>
    <s v="TCD011"/>
    <m/>
    <s v="bongor"/>
    <m/>
  </r>
  <r>
    <s v="Extreme-Nord"/>
    <s v="CMR004"/>
    <x v="5"/>
    <s v="CMR004006"/>
    <n v="13.784815459887"/>
    <n v="10.8245672347739"/>
    <x v="30"/>
    <s v="CMR004006004"/>
    <n v="13.888"/>
    <n v="10.883336078829901"/>
    <x v="2"/>
    <x v="1"/>
    <n v="25"/>
    <x v="154"/>
    <m/>
    <m/>
    <s v="Same_Country"/>
    <x v="1"/>
    <x v="4"/>
    <s v="borno"/>
    <m/>
    <s v="NGA008"/>
    <m/>
    <m/>
    <m/>
  </r>
  <r>
    <s v="Extreme-Nord"/>
    <s v="CMR004"/>
    <x v="5"/>
    <s v="CMR004006"/>
    <n v="13.784815459887"/>
    <n v="10.8245672347739"/>
    <x v="30"/>
    <s v="CMR004006004"/>
    <n v="13.888"/>
    <n v="10.883336078829901"/>
    <x v="2"/>
    <x v="0"/>
    <n v="11"/>
    <x v="59"/>
    <m/>
    <m/>
    <s v="Same_Country"/>
    <x v="0"/>
    <x v="4"/>
    <s v="CMR006"/>
    <m/>
    <s v="CMR006003"/>
    <m/>
    <m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3"/>
    <n v="10"/>
    <x v="155"/>
    <m/>
    <m/>
    <s v="Other_Country"/>
    <x v="2"/>
    <x v="4"/>
    <s v="TCD011"/>
    <m/>
    <s v="TCD011"/>
    <m/>
    <s v="bongor"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1"/>
    <n v="15"/>
    <x v="124"/>
    <m/>
    <m/>
    <s v="Other_Country"/>
    <x v="2"/>
    <x v="4"/>
    <s v="TCD011"/>
    <m/>
    <s v="TCD011"/>
    <m/>
    <s v="bongor"/>
    <m/>
  </r>
  <r>
    <s v="Extreme-Nord"/>
    <s v="CMR004"/>
    <x v="2"/>
    <s v="CMR004003"/>
    <n v="15.1673049098147"/>
    <n v="10.5022992912047"/>
    <x v="17"/>
    <s v="CMR004003006"/>
    <n v="15.1379772569768"/>
    <n v="10.4758260817755"/>
    <x v="2"/>
    <x v="0"/>
    <n v="10"/>
    <x v="155"/>
    <m/>
    <m/>
    <s v="Other_Country"/>
    <x v="2"/>
    <x v="4"/>
    <s v="TCD011"/>
    <m/>
    <s v="TCD011"/>
    <m/>
    <s v="bongor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75">
  <r>
    <x v="0"/>
    <s v="CMR004001"/>
    <s v="Bogo"/>
    <s v="CMR004001005"/>
    <s v="Autre_villag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Bogo"/>
    <s v="CMR004001005"/>
    <s v="BAGALAF"/>
    <s v="CMR0040010018"/>
    <s v="Host_Family"/>
    <m/>
    <s v="Conflict_ISWA"/>
    <s v="Cameroon"/>
    <s v="CMR"/>
    <s v="Extrême-Nord"/>
    <s v="CMR004"/>
    <s v="Mayo-Sava"/>
    <s v="CMR004005"/>
    <s v="Mora"/>
    <s v="CMR004005002"/>
    <n v="14.533142"/>
    <n v="10.696113"/>
  </r>
  <r>
    <x v="0"/>
    <s v="CMR004001"/>
    <s v="Bogo"/>
    <s v="CMR004001005"/>
    <s v="BALDA"/>
    <s v="CMR0040010026"/>
    <s v="Host_Family"/>
    <m/>
    <s v="Conflict_ISWA"/>
    <s v="Cameroon"/>
    <s v="CMR"/>
    <s v="Extrême-Nord"/>
    <s v="CMR004"/>
    <s v="Logone-Et-Chari"/>
    <s v="CMR004002"/>
    <s v="Waza"/>
    <s v="CMR004002001"/>
    <n v="14.657781"/>
    <n v="10.846223999999999"/>
  </r>
  <r>
    <x v="0"/>
    <s v="CMR004001"/>
    <s v="Bogo"/>
    <s v="CMR004001005"/>
    <s v="BOGO"/>
    <s v="CMR0040010046"/>
    <s v="Host_Family"/>
    <m/>
    <s v="Conflict_ISWA"/>
    <s v="Cameroon"/>
    <s v="CMR"/>
    <s v="Extrême-Nord"/>
    <s v="CMR004"/>
    <s v="Mayo-Sava"/>
    <s v="CMR004005"/>
    <s v="Kolofata"/>
    <s v="CMR004005001"/>
    <n v="14.609275999999999"/>
    <n v="10.733603"/>
  </r>
  <r>
    <x v="0"/>
    <s v="CMR004001"/>
    <s v="Bogo"/>
    <s v="CMR004001005"/>
    <s v="BOREY"/>
    <s v="CMR0040010049"/>
    <s v="Host_Family"/>
    <m/>
    <s v="Conflict_ISWA"/>
    <s v="Cameroon"/>
    <s v="CMR"/>
    <s v="Extrême-Nord"/>
    <s v="CMR004"/>
    <s v="Mayo-Sava"/>
    <s v="CMR004005"/>
    <s v="Kolofata"/>
    <s v="CMR004005001"/>
    <n v="14.63869"/>
    <n v="10.661258999999999"/>
  </r>
  <r>
    <x v="0"/>
    <s v="CMR004001"/>
    <s v="Bogo"/>
    <s v="CMR004001005"/>
    <s v="MADAKALAWANAT"/>
    <s v="CMR0040010279"/>
    <s v="Host_Family"/>
    <m/>
    <s v="Conflict_ISWA"/>
    <s v="Cameroon"/>
    <s v="CMR"/>
    <s v="Extrême-Nord"/>
    <s v="CMR004"/>
    <s v="Mayo-Sava"/>
    <s v="CMR004005"/>
    <s v="Mora"/>
    <s v="CMR004005002"/>
    <n v="14.55"/>
    <n v="10.75"/>
  </r>
  <r>
    <x v="0"/>
    <s v="CMR004001"/>
    <s v="Bogo"/>
    <s v="CMR004001005"/>
    <s v="MORGOI"/>
    <s v="CMR0040010390"/>
    <s v="Host_Family"/>
    <m/>
    <s v="Conflict_ISWA"/>
    <s v="Cameroon"/>
    <s v="CMR"/>
    <s v="Extrême-Nord"/>
    <s v="CMR004"/>
    <s v="Logone-Et-Chari"/>
    <s v="CMR004002"/>
    <s v="Waza"/>
    <s v="CMR004002001"/>
    <n v="14.745808"/>
    <n v="10.925478"/>
  </r>
  <r>
    <x v="0"/>
    <s v="CMR004001"/>
    <s v="Dargala"/>
    <s v="CMR004001004"/>
    <s v="DJOHIRE"/>
    <m/>
    <s v="Host_Family"/>
    <m/>
    <s v="Conflict_ISWA"/>
    <s v="Cameroon"/>
    <s v="CMR"/>
    <s v="Extrême-Nord"/>
    <s v="CMR004"/>
    <s v="Diamare"/>
    <s v="CMR004001"/>
    <s v="Dargala"/>
    <s v="CMR004001004"/>
    <m/>
    <m/>
  </r>
  <r>
    <x v="0"/>
    <s v="CMR004001"/>
    <s v="Dargala"/>
    <s v="CMR004001004"/>
    <s v="KALAKI"/>
    <m/>
    <s v="Host_Family"/>
    <m/>
    <s v="Conflict_ISWA"/>
    <s v="Cameroon"/>
    <s v="CMR"/>
    <s v="Extrême-Nord"/>
    <s v="CMR004"/>
    <s v="Diamare"/>
    <s v="CMR004001"/>
    <s v="Dargala"/>
    <s v="CMR004001004"/>
    <m/>
    <m/>
  </r>
  <r>
    <x v="0"/>
    <s v="CMR004001"/>
    <s v="Dargala"/>
    <s v="CMR004001004"/>
    <s v="OURO-ZANGUI"/>
    <m/>
    <s v="Host_Family"/>
    <m/>
    <s v="Conflict_ISWA"/>
    <s v="Cameroon"/>
    <s v="CMR"/>
    <s v="Extrême-Nord"/>
    <s v="CMR004"/>
    <s v="Diamare"/>
    <s v="CMR004001"/>
    <s v="Dargala"/>
    <s v="CMR004001004"/>
    <m/>
    <m/>
  </r>
  <r>
    <x v="0"/>
    <s v="CMR004001"/>
    <s v="Dargala"/>
    <s v="CMR004001004"/>
    <s v="WOULMOYE"/>
    <m/>
    <s v="Host_Family"/>
    <m/>
    <s v="Conflict_ISWA"/>
    <s v="Cameroon"/>
    <s v="CMR"/>
    <s v="Extrême-Nord"/>
    <s v="CMR004"/>
    <s v="Diamare"/>
    <s v="CMR004001"/>
    <s v="Dargala"/>
    <s v="CMR004001004"/>
    <m/>
    <m/>
  </r>
  <r>
    <x v="0"/>
    <s v="CMR004001"/>
    <s v="Dargala"/>
    <s v="CMR004001004"/>
    <s v="DARGALA"/>
    <s v="CMR0040010069"/>
    <s v="Host_Family"/>
    <m/>
    <s v="Conflict_ISWA"/>
    <s v="Cameroon"/>
    <s v="CMR"/>
    <s v="Extrême-Nord"/>
    <s v="CMR004"/>
    <s v="Diamare"/>
    <s v="CMR004001"/>
    <s v="Dargala"/>
    <s v="CMR004001004"/>
    <n v="14.604594000000001"/>
    <n v="10.526233"/>
  </r>
  <r>
    <x v="0"/>
    <s v="CMR004001"/>
    <s v="Gazawa"/>
    <s v="CMR004001008"/>
    <s v="BANTADJ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0"/>
    <s v="CMR004001"/>
    <s v="Gazawa"/>
    <s v="CMR004001008"/>
    <s v="CARREFOUR-CLIP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0"/>
    <s v="CMR004001"/>
    <s v="Gazawa"/>
    <s v="CMR004001008"/>
    <s v="GOUDOURWO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0"/>
    <s v="CMR004001"/>
    <s v="Gazawa"/>
    <s v="CMR004001008"/>
    <s v="LOMOR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0"/>
    <s v="CMR004001"/>
    <s v="Gazawa"/>
    <s v="CMR004001008"/>
    <s v="KATOUAL"/>
    <s v="CMR0040010233"/>
    <s v="Host_Family"/>
    <m/>
    <s v="Conflict_ISWA"/>
    <s v="Cameroon"/>
    <s v="CMR"/>
    <s v="Extrême-Nord"/>
    <s v="CMR004"/>
    <s v="Mayo-Tsanaga"/>
    <s v="CMR004006"/>
    <s v="Mozogo"/>
    <s v="CMR004006005"/>
    <n v="14.219573"/>
    <n v="10.528294000000001"/>
  </r>
  <r>
    <x v="0"/>
    <s v="CMR004001"/>
    <s v="Maroua II"/>
    <s v="CMR004001002"/>
    <s v="DOUALAR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Maroua III"/>
    <s v="CMR004001001"/>
    <s v="LOUGUEO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0"/>
    <s v="CMR004001"/>
    <s v="Meri"/>
    <s v="CMR004001007"/>
    <s v="MERI"/>
    <s v="CMR0040010361"/>
    <s v="Camp/Site"/>
    <s v="CAMP"/>
    <s v="Conflict_ISWA"/>
    <s v="Cameroon"/>
    <s v="CMR"/>
    <s v="Extrême-Nord"/>
    <s v="CMR004"/>
    <s v="Logone-Et-Chari"/>
    <s v="CMR004002"/>
    <s v="Makary"/>
    <s v="CMR004002009"/>
    <n v="14.121532"/>
    <n v="10.773517"/>
  </r>
  <r>
    <x v="0"/>
    <s v="CMR004001"/>
    <s v="Pette"/>
    <s v="CMR004001003"/>
    <s v="ALAGARNO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DJAFGUE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0"/>
    <s v="CMR004001"/>
    <s v="Pette"/>
    <s v="CMR004001003"/>
    <s v="DJOUKA-BEMBAL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EREO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FADARE PETT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HODEMA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HOUSSARE FADAR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ARAL GUI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ARAL TANN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ONGHO 1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ONGHO 2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OURGNOUGNOU"/>
    <m/>
    <s v="Camp/Site"/>
    <s v="KOURGNOUGNOU"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ourwama abdou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KOURWAMA NDIDDA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NDJAMENA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NIWADJI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PETTE CENTR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SALAME ALIOUM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TCHALNGA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TOUTKA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0"/>
    <s v="CMR004001"/>
    <s v="Pette"/>
    <s v="CMR004001003"/>
    <s v="DJAOUDE"/>
    <s v="CMR0040010089"/>
    <s v="Host_Family"/>
    <m/>
    <s v="Conflict_ISWA"/>
    <s v="Cameroon"/>
    <s v="CMR"/>
    <s v="Extrême-Nord"/>
    <s v="CMR004"/>
    <s v="Mayo-Sava"/>
    <s v="CMR004005"/>
    <s v="Mora"/>
    <s v="CMR004005002"/>
    <n v="14.436938"/>
    <n v="11.041551"/>
  </r>
  <r>
    <x v="0"/>
    <s v="CMR004001"/>
    <s v="Pette"/>
    <s v="CMR004001003"/>
    <s v="DOUTAROU"/>
    <s v="CMR0040010119"/>
    <s v="Host_Family"/>
    <m/>
    <s v="Conflict_ISWA"/>
    <s v="Cameroon"/>
    <s v="CMR"/>
    <s v="Extrême-Nord"/>
    <s v="CMR004"/>
    <s v="Mayo-Sava"/>
    <s v="CMR004005"/>
    <s v="Mora"/>
    <s v="CMR004005002"/>
    <n v="14.478745999999999"/>
    <n v="11.084294"/>
  </r>
  <r>
    <x v="0"/>
    <s v="CMR004001"/>
    <s v="Pette"/>
    <s v="CMR004001003"/>
    <s v="KILISSAWA"/>
    <s v="CMR0040010239"/>
    <s v="Host_Family"/>
    <m/>
    <s v="Conflict_ISWA"/>
    <s v="Cameroon"/>
    <s v="CMR"/>
    <s v="Extrême-Nord"/>
    <s v="CMR004"/>
    <s v="Mayo-Sava"/>
    <s v="CMR004005"/>
    <s v="Mora"/>
    <s v="CMR004005002"/>
    <n v="14.422222"/>
    <n v="11.052222"/>
  </r>
  <r>
    <x v="0"/>
    <s v="CMR004001"/>
    <s v="Pette"/>
    <s v="CMR004001003"/>
    <s v="KOURWAMAY"/>
    <s v="CMR0040010262"/>
    <s v="Host_Family"/>
    <m/>
    <s v="Conflict_ISWA"/>
    <s v="Cameroon"/>
    <s v="CMR"/>
    <s v="Extrême-Nord"/>
    <s v="CMR004"/>
    <s v="Mayo-Sava"/>
    <s v="CMR004005"/>
    <s v="Mora"/>
    <s v="CMR004005002"/>
    <n v="14.490655"/>
    <n v="10.992988"/>
  </r>
  <r>
    <x v="0"/>
    <s v="CMR004001"/>
    <s v="Pette"/>
    <s v="CMR004001003"/>
    <s v="LOUBALOUBA"/>
    <s v="CMR0040010273"/>
    <s v="Host_Family"/>
    <m/>
    <s v="Conflict_ISWA"/>
    <s v="Cameroon"/>
    <s v="CMR"/>
    <s v="Extrême-Nord"/>
    <s v="CMR004"/>
    <s v="Mayo-Sava"/>
    <s v="CMR004005"/>
    <s v="Mora"/>
    <s v="CMR004005002"/>
    <n v="14.65706"/>
    <n v="10.951924"/>
  </r>
  <r>
    <x v="0"/>
    <s v="CMR004001"/>
    <s v="Pette"/>
    <s v="CMR004001003"/>
    <s v="MOURGOUM"/>
    <s v="CMR0040010399"/>
    <s v="Host_Family"/>
    <m/>
    <s v="Conflict_ISWA"/>
    <s v="Cameroon"/>
    <s v="CMR"/>
    <s v="Extrême-Nord"/>
    <s v="CMR004"/>
    <s v="Mayo-Sava"/>
    <s v="CMR004005"/>
    <s v="Mora"/>
    <s v="CMR004005002"/>
    <n v="14.632802"/>
    <n v="10.992774000000001"/>
  </r>
  <r>
    <x v="1"/>
    <s v="CMR004002"/>
    <s v="Blangoua"/>
    <s v="CMR004002003"/>
    <s v="ABENGKORO"/>
    <s v="CMR0040020014"/>
    <s v="Host_Family"/>
    <m/>
    <s v="Conflict_ISWA"/>
    <s v="Cameroon"/>
    <s v="CMR"/>
    <s v="Extrême-Nord"/>
    <s v="CMR004"/>
    <s v="Logone-Et-Chari"/>
    <s v="CMR004002"/>
    <s v="Makary"/>
    <s v="CMR004002009"/>
    <n v="14.641296000000001"/>
    <n v="12.731612999999999"/>
  </r>
  <r>
    <x v="1"/>
    <s v="CMR004002"/>
    <s v="Blangoua"/>
    <s v="CMR004002003"/>
    <s v="ANDROUMAN"/>
    <s v="CMR0040020130"/>
    <s v="Host_Family"/>
    <m/>
    <s v="Conflict_ISWA"/>
    <s v="Cameroon"/>
    <s v="CMR"/>
    <s v="Extrême-Nord"/>
    <s v="CMR004"/>
    <s v="Logone-Et-Chari"/>
    <s v="CMR004002"/>
    <s v="Fotokol"/>
    <s v="CMR004002008"/>
    <n v="14.877769000000001"/>
    <n v="12.200200000000001"/>
  </r>
  <r>
    <x v="1"/>
    <s v="CMR004002"/>
    <s v="Blangoua"/>
    <s v="CMR004002003"/>
    <s v="ASSIAMB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Blangoua"/>
    <s v="CMR004002003"/>
    <s v="BLARAM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Blangoua"/>
    <s v="CMR004002003"/>
    <s v="DOUGOUMACH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Blangoua"/>
    <s v="CMR004002003"/>
    <s v="KINZAYAKOU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Blangoua"/>
    <s v="CMR004002003"/>
    <s v="KOFI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Blangoua"/>
    <s v="CMR004002003"/>
    <s v="KOUTOULA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Blangoua"/>
    <s v="CMR004002003"/>
    <s v="MADAIK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Blangoua"/>
    <s v="CMR004002003"/>
    <s v="NGOUM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Blangoua"/>
    <s v="CMR004002003"/>
    <s v="BLANGOUA"/>
    <s v="CMR0040020208"/>
    <s v="Host_Family"/>
    <m/>
    <s v="Conflict_ISWA"/>
    <s v="Cameroon"/>
    <s v="CMR"/>
    <s v="Extrême-Nord"/>
    <s v="CMR004"/>
    <s v="Logone-Et-Chari"/>
    <s v="CMR004002"/>
    <s v="Fotokol"/>
    <s v="CMR004002008"/>
    <n v="14.575668"/>
    <n v="12.767559"/>
  </r>
  <r>
    <x v="1"/>
    <s v="CMR004002"/>
    <s v="Blangoua"/>
    <s v="CMR004002003"/>
    <s v="BLANGOUA"/>
    <s v="CMR0040020208"/>
    <s v="Camp/Site"/>
    <s v="C RECASEMENT"/>
    <s v="Floods_Natural_Disasters"/>
    <s v="Cameroon"/>
    <s v="CMR"/>
    <s v="Extrême-Nord"/>
    <s v="CMR004"/>
    <s v="Logone-Et-Chari"/>
    <s v="CMR004002"/>
    <s v="Blangoua"/>
    <s v="CMR004002003"/>
    <n v="14.575668"/>
    <n v="12.767559"/>
  </r>
  <r>
    <x v="1"/>
    <s v="CMR004002"/>
    <s v="Blangoua"/>
    <s v="CMR004002003"/>
    <s v="CHAOUE"/>
    <s v="CMR0040020249"/>
    <s v="Host_Family"/>
    <m/>
    <s v="Conflict_ISWA"/>
    <s v="Cameroon"/>
    <s v="CMR"/>
    <s v="Extrême-Nord"/>
    <s v="CMR004"/>
    <s v="Logone-Et-Chari"/>
    <s v="CMR004002"/>
    <s v="Fotokol"/>
    <s v="CMR004002008"/>
    <n v="14.683332999999999"/>
    <n v="12.716666999999999"/>
  </r>
  <r>
    <x v="1"/>
    <s v="CMR004002"/>
    <s v="Blangoua"/>
    <s v="CMR004002003"/>
    <s v="KOKIO"/>
    <s v="CMR0040020652"/>
    <s v="Host_Family"/>
    <m/>
    <s v="Conflict_ISWA"/>
    <s v="Cameroon"/>
    <s v="CMR"/>
    <s v="Extrême-Nord"/>
    <s v="CMR004"/>
    <s v="Logone-Et-Chari"/>
    <s v="CMR004002"/>
    <s v="Makary"/>
    <s v="CMR004002009"/>
    <n v="14.466267"/>
    <n v="12.467777"/>
  </r>
  <r>
    <x v="1"/>
    <s v="CMR004002"/>
    <s v="Blangoua"/>
    <s v="CMR004002003"/>
    <s v="SERO"/>
    <s v="CMR0040021119"/>
    <s v="Host_Family"/>
    <m/>
    <s v="Conflict_ISWA"/>
    <s v="Cameroon"/>
    <s v="CMR"/>
    <s v="Extrême-Nord"/>
    <s v="CMR004"/>
    <s v="Logone-Et-Chari"/>
    <s v="CMR004002"/>
    <s v="Fotokol"/>
    <s v="CMR004002008"/>
    <n v="14.866536999999999"/>
    <n v="12.101597999999999"/>
  </r>
  <r>
    <x v="1"/>
    <s v="CMR004002"/>
    <s v="Darak"/>
    <s v="CMR004002007"/>
    <s v="BOUARAM"/>
    <m/>
    <s v="Host_Family"/>
    <m/>
    <s v="Floods_Natural_Disasters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DJIREIB I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DJIREIB II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DOLE ABOUNA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GARI WAZAM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KATIKIME I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KATIKIME II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RIYAD"/>
    <m/>
    <s v="Host_Family"/>
    <m/>
    <s v="Conflict_ISWA"/>
    <s v="Cameroon"/>
    <s v="CMR"/>
    <s v="Extrême-Nord"/>
    <s v="CMR004"/>
    <s v="Logone-Et-Chari"/>
    <s v="CMR004002"/>
    <s v="Darak"/>
    <s v="CMR004002007"/>
    <m/>
    <m/>
  </r>
  <r>
    <x v="1"/>
    <s v="CMR004002"/>
    <s v="Darak"/>
    <s v="CMR004002007"/>
    <s v="BOUSSAYA"/>
    <s v="CMR0040020227"/>
    <s v="Host_Family"/>
    <m/>
    <s v="Conflict_ISWA"/>
    <s v="Cameroon"/>
    <s v="CMR"/>
    <s v="Extrême-Nord"/>
    <s v="CMR004"/>
    <s v="Logone-Et-Chari"/>
    <s v="CMR004002"/>
    <s v="Darak"/>
    <s v="CMR004002007"/>
    <n v="14.372123999999999"/>
    <n v="12.718621000000001"/>
  </r>
  <r>
    <x v="1"/>
    <s v="CMR004002"/>
    <s v="Darak"/>
    <s v="CMR004002007"/>
    <s v="DABAK"/>
    <s v="CMR0040020259"/>
    <s v="Host_Family"/>
    <m/>
    <s v="Conflict_ISWA"/>
    <s v="Cameroon"/>
    <s v="CMR"/>
    <s v="Extrême-Nord"/>
    <s v="CMR004"/>
    <s v="Logone-Et-Chari"/>
    <s v="CMR004002"/>
    <s v="Darak"/>
    <s v="CMR004002007"/>
    <n v="15.001606000000001"/>
    <n v="11.447025999999999"/>
  </r>
  <r>
    <x v="1"/>
    <s v="CMR004002"/>
    <s v="Darak"/>
    <s v="CMR004002007"/>
    <s v="GOREKENDI"/>
    <s v="CMR0040020491"/>
    <s v="Host_Family"/>
    <m/>
    <s v="Floods_Natural_Disasters"/>
    <s v="Cameroon"/>
    <s v="CMR"/>
    <s v="Extrême-Nord"/>
    <s v="CMR004"/>
    <s v="Logone-Et-Chari"/>
    <s v="CMR004002"/>
    <s v="Darak"/>
    <s v="CMR004002007"/>
    <n v="14.345787"/>
    <n v="12.791289000000001"/>
  </r>
  <r>
    <x v="1"/>
    <s v="CMR004002"/>
    <s v="Darak"/>
    <s v="CMR004002007"/>
    <s v="HEROUA"/>
    <s v="CMR0040020559"/>
    <s v="Host_Family"/>
    <m/>
    <s v="Conflict_ISWA"/>
    <s v="Cameroon"/>
    <s v="CMR"/>
    <s v="Extrême-Nord"/>
    <s v="CMR004"/>
    <s v="Logone-Et-Chari"/>
    <s v="CMR004002"/>
    <s v="Darak"/>
    <s v="CMR004002007"/>
    <n v="14.474288"/>
    <n v="12.631474000000001"/>
  </r>
  <r>
    <x v="1"/>
    <s v="CMR004002"/>
    <s v="Darak"/>
    <s v="CMR004002007"/>
    <s v="KALAOUA"/>
    <s v="CMR0040020586"/>
    <s v="Host_Family"/>
    <m/>
    <s v="Floods_Natural_Disasters"/>
    <s v="Cameroon"/>
    <s v="CMR"/>
    <s v="Extrême-Nord"/>
    <s v="CMR004"/>
    <s v="Logone-Et-Chari"/>
    <s v="CMR004002"/>
    <s v="Darak"/>
    <s v="CMR004002007"/>
    <n v="14.822063"/>
    <n v="12.430731"/>
  </r>
  <r>
    <x v="1"/>
    <s v="CMR004002"/>
    <s v="Darak"/>
    <s v="CMR004002007"/>
    <s v="KARAGAMA"/>
    <s v="CMR0040020603"/>
    <s v="Host_Family"/>
    <m/>
    <s v="Conflict_ISWA"/>
    <s v="Cameroon"/>
    <s v="CMR"/>
    <s v="Extrême-Nord"/>
    <s v="CMR004"/>
    <s v="Logone-Et-Chari"/>
    <s v="CMR004002"/>
    <s v="Darak"/>
    <s v="CMR004002007"/>
    <n v="15.009872"/>
    <n v="11.844322"/>
  </r>
  <r>
    <x v="1"/>
    <s v="CMR004002"/>
    <s v="Darak"/>
    <s v="CMR004002007"/>
    <s v="KARENA"/>
    <s v="CMR0040020610"/>
    <s v="Host_Family"/>
    <m/>
    <s v="Floods_Natural_Disasters"/>
    <s v="Cameroon"/>
    <s v="CMR"/>
    <s v="Extrême-Nord"/>
    <s v="CMR004"/>
    <s v="Logone-Et-Chari"/>
    <s v="CMR004002"/>
    <s v="Darak"/>
    <s v="CMR004002007"/>
    <n v="14.839247"/>
    <n v="12.107813"/>
  </r>
  <r>
    <x v="1"/>
    <s v="CMR004002"/>
    <s v="Darak"/>
    <s v="CMR004002007"/>
    <s v="KOUNDJARA"/>
    <s v="CMR0040020661"/>
    <s v="Host_Family"/>
    <m/>
    <s v="Floods_Natural_Disasters"/>
    <s v="Cameroon"/>
    <s v="CMR"/>
    <s v="Extrême-Nord"/>
    <s v="CMR004"/>
    <s v="Logone-Et-Chari"/>
    <s v="CMR004002"/>
    <s v="Darak"/>
    <s v="CMR004002007"/>
    <n v="14.407843"/>
    <n v="12.704446000000001"/>
  </r>
  <r>
    <x v="1"/>
    <s v="CMR004002"/>
    <s v="Darak"/>
    <s v="CMR004002007"/>
    <s v="MAGALADJAMENA"/>
    <s v="CMR0040020748"/>
    <s v="Host_Family"/>
    <m/>
    <s v="Conflict_ISWA"/>
    <s v="Cameroon"/>
    <s v="CMR"/>
    <s v="Extrême-Nord"/>
    <s v="CMR004"/>
    <s v="Logone-Et-Chari"/>
    <s v="CMR004002"/>
    <s v="Darak"/>
    <s v="CMR004002007"/>
    <n v="14.431153999999999"/>
    <n v="12.663677"/>
  </r>
  <r>
    <x v="1"/>
    <s v="CMR004002"/>
    <s v="Darak"/>
    <s v="CMR004002007"/>
    <s v="MAGALAKABIR"/>
    <s v="CMR0040020750"/>
    <s v="Host_Family"/>
    <m/>
    <s v="Conflict_ISWA"/>
    <s v="Cameroon"/>
    <s v="CMR"/>
    <s v="Extrême-Nord"/>
    <s v="CMR004"/>
    <s v="Logone-Et-Chari"/>
    <s v="CMR004002"/>
    <s v="Darak"/>
    <s v="CMR004002007"/>
    <n v="14.467532"/>
    <n v="12.655200000000001"/>
  </r>
  <r>
    <x v="1"/>
    <s v="CMR004002"/>
    <s v="Darak"/>
    <s v="CMR004002007"/>
    <s v="MAINARI"/>
    <s v="CMR0040020767"/>
    <s v="Host_Family"/>
    <m/>
    <s v="Conflict_ISWA"/>
    <s v="Cameroon"/>
    <s v="CMR"/>
    <s v="Extrême-Nord"/>
    <s v="CMR004"/>
    <s v="Logone-Et-Chari"/>
    <s v="CMR004002"/>
    <s v="Darak"/>
    <s v="CMR004002007"/>
    <n v="14.189062"/>
    <n v="12.477774"/>
  </r>
  <r>
    <x v="1"/>
    <s v="CMR004002"/>
    <s v="Darak"/>
    <s v="CMR004002007"/>
    <s v="NAGA"/>
    <s v="CMR0040020915"/>
    <s v="Host_Family"/>
    <m/>
    <s v="Floods_Natural_Disasters"/>
    <s v="Cameroon"/>
    <s v="CMR"/>
    <s v="Extrême-Nord"/>
    <s v="CMR004"/>
    <s v="Logone-Et-Chari"/>
    <s v="CMR004002"/>
    <s v="Darak"/>
    <s v="CMR004002007"/>
    <n v="14.575552999999999"/>
    <n v="12.478358"/>
  </r>
  <r>
    <x v="1"/>
    <s v="CMR004002"/>
    <s v="Darak"/>
    <s v="CMR004002007"/>
    <s v="NIGUE"/>
    <s v="CMR0040020986"/>
    <s v="Host_Family"/>
    <m/>
    <s v="Conflict_ISWA"/>
    <s v="Cameroon"/>
    <s v="CMR"/>
    <s v="Extrême-Nord"/>
    <s v="CMR004"/>
    <s v="Logone-Et-Chari"/>
    <s v="CMR004002"/>
    <s v="Darak"/>
    <s v="CMR004002007"/>
    <n v="14.745934"/>
    <n v="12.428034"/>
  </r>
  <r>
    <x v="1"/>
    <s v="CMR004002"/>
    <s v="Darak"/>
    <s v="CMR004002007"/>
    <s v="TAMRAYA"/>
    <s v="CMR0040021153"/>
    <s v="Host_Family"/>
    <m/>
    <s v="Conflict_ISWA"/>
    <s v="Cameroon"/>
    <s v="CMR"/>
    <s v="Extrême-Nord"/>
    <s v="CMR004"/>
    <s v="Logone-Et-Chari"/>
    <s v="CMR004002"/>
    <s v="Darak"/>
    <s v="CMR004002007"/>
    <n v="14.982844"/>
    <n v="12.075265"/>
  </r>
  <r>
    <x v="1"/>
    <s v="CMR004002"/>
    <s v="Fotokol"/>
    <s v="CMR004002008"/>
    <s v="AMADOUKCHI"/>
    <s v="CMR0040020089"/>
    <s v="Host_Family"/>
    <m/>
    <s v="Conflict_ISWA"/>
    <s v="Cameroon"/>
    <s v="CMR"/>
    <s v="Extrême-Nord"/>
    <s v="CMR004"/>
    <s v="Logone-Et-Chari"/>
    <s v="CMR004002"/>
    <s v="Fotokol"/>
    <s v="CMR004002008"/>
    <n v="14.75"/>
    <n v="12.533333000000001"/>
  </r>
  <r>
    <x v="1"/>
    <s v="CMR004002"/>
    <s v="Fotokol"/>
    <s v="CMR004002008"/>
    <s v="ARDEBE"/>
    <s v="CMR0040020134"/>
    <s v="Host_Family"/>
    <m/>
    <s v="Conflict_ISWA"/>
    <s v="Cameroon"/>
    <s v="CMR"/>
    <s v="Extrême-Nord"/>
    <s v="CMR004"/>
    <s v="Logone-Et-Chari"/>
    <s v="CMR004002"/>
    <s v="Fotokol"/>
    <s v="CMR004002008"/>
    <n v="15.050891999999999"/>
    <n v="12.050858"/>
  </r>
  <r>
    <x v="1"/>
    <s v="CMR004002"/>
    <s v="Fotokol"/>
    <s v="CMR004002008"/>
    <s v="MAGAM I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MAGAM II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MARGAMA II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MILEMARI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SOUERAM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WALLAM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WANGAR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Fotokol"/>
    <s v="CMR004002008"/>
    <s v="BELGUEDE"/>
    <s v="CMR0040020188"/>
    <s v="Host_Family"/>
    <m/>
    <s v="Conflict_ISWA"/>
    <s v="Cameroon"/>
    <s v="CMR"/>
    <s v="Extrême-Nord"/>
    <s v="CMR004"/>
    <s v="Logone-Et-Chari"/>
    <s v="CMR004002"/>
    <s v="Fotokol"/>
    <s v="CMR004002008"/>
    <n v="14.352209"/>
    <n v="12.402089999999999"/>
  </r>
  <r>
    <x v="1"/>
    <s v="CMR004002"/>
    <s v="Fotokol"/>
    <s v="CMR004002008"/>
    <s v="BIDI"/>
    <s v="CMR0040020196"/>
    <s v="Host_Family"/>
    <m/>
    <s v="Conflict_ISWA"/>
    <s v="Cameroon"/>
    <s v="CMR"/>
    <s v="Extrême-Nord"/>
    <s v="CMR004"/>
    <s v="Logone-Et-Chari"/>
    <s v="CMR004002"/>
    <s v="Fotokol"/>
    <s v="CMR004002008"/>
    <n v="14.290509999999999"/>
    <n v="12.399065999999999"/>
  </r>
  <r>
    <x v="1"/>
    <s v="CMR004002"/>
    <s v="Fotokol"/>
    <s v="CMR004002008"/>
    <s v="BLABAGO"/>
    <s v="CMR0040020201"/>
    <s v="Host_Family"/>
    <m/>
    <s v="Conflict_ISWA"/>
    <s v="Cameroon"/>
    <s v="CMR"/>
    <s v="Extrême-Nord"/>
    <s v="CMR004"/>
    <s v="Logone-Et-Chari"/>
    <s v="CMR004002"/>
    <s v="Fotokol"/>
    <s v="CMR004002008"/>
    <n v="14.347153"/>
    <n v="12.484239000000001"/>
  </r>
  <r>
    <x v="1"/>
    <s v="CMR004002"/>
    <s v="Fotokol"/>
    <s v="CMR004002008"/>
    <s v="BLANGAFE"/>
    <s v="CMR0040020207"/>
    <s v="Host_Family"/>
    <m/>
    <s v="Conflict_ISWA"/>
    <s v="Cameroon"/>
    <s v="CMR"/>
    <s v="Extrême-Nord"/>
    <s v="CMR004"/>
    <s v="Logone-Et-Chari"/>
    <s v="CMR004002"/>
    <s v="Fotokol"/>
    <s v="CMR004002008"/>
    <n v="14.310082"/>
    <n v="12.402138000000001"/>
  </r>
  <r>
    <x v="1"/>
    <s v="CMR004002"/>
    <s v="Fotokol"/>
    <s v="CMR004002008"/>
    <s v="CHELOBA"/>
    <s v="CMR0040020253"/>
    <s v="Host_Family"/>
    <m/>
    <s v="Conflict_ISWA"/>
    <s v="Cameroon"/>
    <s v="CMR"/>
    <s v="Extrême-Nord"/>
    <s v="CMR004"/>
    <s v="Logone-Et-Chari"/>
    <s v="CMR004002"/>
    <s v="Fotokol"/>
    <s v="CMR004002008"/>
    <n v="14.878220000000001"/>
    <n v="12.244192999999999"/>
  </r>
  <r>
    <x v="1"/>
    <s v="CMR004002"/>
    <s v="Fotokol"/>
    <s v="CMR004002008"/>
    <s v="DEGA"/>
    <s v="CMR0040020294"/>
    <s v="Host_Family"/>
    <m/>
    <s v="Conflict_ISWA"/>
    <s v="Cameroon"/>
    <s v="CMR"/>
    <s v="Extrême-Nord"/>
    <s v="CMR004"/>
    <s v="Logone-Et-Chari"/>
    <s v="CMR004002"/>
    <s v="Fotokol"/>
    <s v="CMR004002008"/>
    <n v="14.198687"/>
    <n v="12.442378"/>
  </r>
  <r>
    <x v="1"/>
    <s v="CMR004002"/>
    <s v="Fotokol"/>
    <s v="CMR004002008"/>
    <s v="DJABRARI"/>
    <s v="CMR0040020316"/>
    <s v="Host_Family"/>
    <m/>
    <s v="Conflict_ISWA"/>
    <s v="Cameroon"/>
    <s v="CMR"/>
    <s v="Extrême-Nord"/>
    <s v="CMR004"/>
    <s v="Logone-Et-Chari"/>
    <s v="CMR004002"/>
    <s v="Fotokol"/>
    <s v="CMR004002008"/>
    <n v="14.260308999999999"/>
    <n v="12.393642"/>
  </r>
  <r>
    <x v="1"/>
    <s v="CMR004002"/>
    <s v="Fotokol"/>
    <s v="CMR004002008"/>
    <s v="DJOUKA"/>
    <s v="CMR0040020349"/>
    <s v="Host_Family"/>
    <m/>
    <s v="Conflict_ISWA"/>
    <s v="Cameroon"/>
    <s v="CMR"/>
    <s v="Extrême-Nord"/>
    <s v="CMR004"/>
    <s v="Logone-Et-Chari"/>
    <s v="CMR004002"/>
    <s v="Fotokol"/>
    <s v="CMR004002008"/>
    <n v="14.290922999999999"/>
    <n v="12.414402000000001"/>
  </r>
  <r>
    <x v="1"/>
    <s v="CMR004002"/>
    <s v="Fotokol"/>
    <s v="CMR004002008"/>
    <s v="FIMA"/>
    <s v="CMR0040020427"/>
    <s v="Host_Family"/>
    <m/>
    <s v="Conflict_ISWA"/>
    <s v="Cameroon"/>
    <s v="CMR"/>
    <s v="Extrême-Nord"/>
    <s v="CMR004"/>
    <s v="Logone-Et-Chari"/>
    <s v="CMR004002"/>
    <s v="Fotokol"/>
    <s v="CMR004002008"/>
    <n v="14.343925"/>
    <n v="12.373348999999999"/>
  </r>
  <r>
    <x v="1"/>
    <s v="CMR004002"/>
    <s v="Fotokol"/>
    <s v="CMR004002008"/>
    <s v="FOTOKOL"/>
    <s v="CMR0040020435"/>
    <s v="Host_Family"/>
    <m/>
    <s v="Conflict_ISWA"/>
    <s v="Cameroon"/>
    <s v="CMR"/>
    <s v="Extrême-Nord"/>
    <s v="CMR004"/>
    <s v="Logone-Et-Chari"/>
    <s v="CMR004002"/>
    <s v="Fotokol"/>
    <s v="CMR004002008"/>
    <n v="14.227736999999999"/>
    <n v="12.373082"/>
  </r>
  <r>
    <x v="1"/>
    <s v="CMR004002"/>
    <s v="Fotokol"/>
    <s v="CMR004002008"/>
    <s v="HAIGAYO"/>
    <s v="CMR0040020548"/>
    <s v="Host_Family"/>
    <m/>
    <s v="Conflict_ISWA"/>
    <s v="Cameroon"/>
    <s v="CMR"/>
    <s v="Extrême-Nord"/>
    <s v="CMR004"/>
    <s v="Logone-Et-Chari"/>
    <s v="CMR004002"/>
    <s v="Fotokol"/>
    <s v="CMR004002008"/>
    <n v="14.300418000000001"/>
    <n v="12.552453"/>
  </r>
  <r>
    <x v="1"/>
    <s v="CMR004002"/>
    <s v="Fotokol"/>
    <s v="CMR004002008"/>
    <s v="KOUBOUGUE"/>
    <s v="CMR0040020655"/>
    <s v="Host_Family"/>
    <m/>
    <s v="Conflict_ISWA"/>
    <s v="Cameroon"/>
    <s v="CMR"/>
    <s v="Extrême-Nord"/>
    <s v="CMR004"/>
    <s v="Logone-Et-Chari"/>
    <s v="CMR004002"/>
    <s v="Fotokol"/>
    <s v="CMR004002008"/>
    <n v="14.258044"/>
    <n v="12.368620999999999"/>
  </r>
  <r>
    <x v="1"/>
    <s v="CMR004002"/>
    <s v="Fotokol"/>
    <s v="CMR004002008"/>
    <s v="MARGAMA"/>
    <s v="CMR0040020809"/>
    <s v="Host_Family"/>
    <m/>
    <s v="Conflict_ISWA"/>
    <s v="Cameroon"/>
    <s v="CMR"/>
    <s v="Extrême-Nord"/>
    <s v="CMR004"/>
    <s v="Logone-Et-Chari"/>
    <s v="CMR004002"/>
    <s v="Fotokol"/>
    <s v="CMR004002008"/>
    <n v="14.297423999999999"/>
    <n v="12.520439"/>
  </r>
  <r>
    <x v="1"/>
    <s v="CMR004002"/>
    <s v="Fotokol"/>
    <s v="CMR004002008"/>
    <s v="MEDINA"/>
    <s v="CMR0040020854"/>
    <s v="Host_Family"/>
    <m/>
    <s v="Conflict_ISWA"/>
    <s v="Cameroon"/>
    <s v="CMR"/>
    <s v="Extrême-Nord"/>
    <s v="CMR004"/>
    <s v="Logone-Et-Chari"/>
    <s v="CMR004002"/>
    <s v="Fotokol"/>
    <s v="CMR004002008"/>
    <n v="14.518484000000001"/>
    <n v="12.350113"/>
  </r>
  <r>
    <x v="1"/>
    <s v="CMR004002"/>
    <s v="Fotokol"/>
    <s v="CMR004002008"/>
    <s v="NIGUE"/>
    <s v="CMR0040020986"/>
    <s v="Host_Family"/>
    <m/>
    <s v="Conflict_ISWA"/>
    <s v="Cameroon"/>
    <s v="CMR"/>
    <s v="Extrême-Nord"/>
    <s v="CMR004"/>
    <s v="Logone-Et-Chari"/>
    <s v="CMR004002"/>
    <s v="Fotokol"/>
    <s v="CMR004002008"/>
    <n v="14.745934"/>
    <n v="12.428034"/>
  </r>
  <r>
    <x v="1"/>
    <s v="CMR004002"/>
    <s v="Fotokol"/>
    <s v="CMR004002008"/>
    <s v="OHLISSENIE"/>
    <s v="CMR0040021000"/>
    <s v="Host_Family"/>
    <m/>
    <s v="Conflict_ISWA"/>
    <s v="Cameroon"/>
    <s v="CMR"/>
    <s v="Extrême-Nord"/>
    <s v="CMR004"/>
    <s v="Logone-Et-Chari"/>
    <s v="CMR004002"/>
    <s v="Fotokol"/>
    <s v="CMR004002008"/>
    <n v="14.364651"/>
    <n v="12.413166"/>
  </r>
  <r>
    <x v="1"/>
    <s v="CMR004002"/>
    <s v="Fotokol"/>
    <s v="CMR004002008"/>
    <s v="OUARAMARI"/>
    <s v="CMR0040021007"/>
    <s v="Host_Family"/>
    <m/>
    <s v="Conflict_ISWA"/>
    <s v="Cameroon"/>
    <s v="CMR"/>
    <s v="Extrême-Nord"/>
    <s v="CMR004"/>
    <s v="Logone-Et-Chari"/>
    <s v="CMR004002"/>
    <s v="Fotokol"/>
    <s v="CMR004002008"/>
    <n v="14.2"/>
    <n v="12.416667"/>
  </r>
  <r>
    <x v="1"/>
    <s v="CMR004002"/>
    <s v="Fotokol"/>
    <s v="CMR004002008"/>
    <s v="ROUROUNDE"/>
    <s v="CMR0040021070"/>
    <s v="Host_Family"/>
    <m/>
    <s v="Conflict_ISWA"/>
    <s v="Cameroon"/>
    <s v="CMR"/>
    <s v="Extrême-Nord"/>
    <s v="CMR004"/>
    <s v="Logone-Et-Chari"/>
    <s v="CMR004002"/>
    <s v="Fotokol"/>
    <s v="CMR004002008"/>
    <n v="14.233216000000001"/>
    <n v="12.43158"/>
  </r>
  <r>
    <x v="1"/>
    <s v="CMR004002"/>
    <s v="Fotokol"/>
    <s v="CMR004002008"/>
    <s v="SAGME"/>
    <s v="CMR0040021084"/>
    <s v="Host_Family"/>
    <m/>
    <s v="Conflict_ISWA"/>
    <s v="Cameroon"/>
    <s v="CMR"/>
    <s v="Extrême-Nord"/>
    <s v="CMR004"/>
    <s v="Logone-Et-Chari"/>
    <s v="CMR004002"/>
    <s v="Fotokol"/>
    <s v="CMR004002008"/>
    <n v="14.261168"/>
    <n v="12.549877"/>
  </r>
  <r>
    <x v="1"/>
    <s v="CMR004002"/>
    <s v="Fotokol"/>
    <s v="CMR004002008"/>
    <s v="WOROMARI"/>
    <s v="CMR0040021209"/>
    <s v="Host_Family"/>
    <m/>
    <s v="Conflict_ISWA"/>
    <s v="Cameroon"/>
    <s v="CMR"/>
    <s v="Extrême-Nord"/>
    <s v="CMR004"/>
    <s v="Logone-Et-Chari"/>
    <s v="CMR004002"/>
    <s v="Fotokol"/>
    <s v="CMR004002008"/>
    <n v="14.206906999999999"/>
    <n v="12.419012"/>
  </r>
  <r>
    <x v="1"/>
    <s v="CMR004002"/>
    <s v="Goulfey"/>
    <s v="CMR004002002"/>
    <s v="ABENDOURWA"/>
    <s v="CMR0040020011"/>
    <s v="Host_Family"/>
    <m/>
    <s v="Conflict_ISWA"/>
    <s v="Cameroon"/>
    <s v="CMR"/>
    <s v="Extrême-Nord"/>
    <s v="CMR004"/>
    <s v="Logone-Et-Chari"/>
    <s v="CMR004002"/>
    <s v="Fotokol"/>
    <s v="CMR004002008"/>
    <n v="14.980278"/>
    <n v="11.988889"/>
  </r>
  <r>
    <x v="1"/>
    <s v="CMR004002"/>
    <s v="Goulfey"/>
    <s v="CMR004002002"/>
    <s v="ALARKE"/>
    <s v="CMR0040020067"/>
    <s v="Host_Family"/>
    <m/>
    <s v="Conflict_ISWA"/>
    <s v="Cameroon"/>
    <s v="CMR"/>
    <s v="Extrême-Nord"/>
    <s v="CMR004"/>
    <s v="Logone-Et-Chari"/>
    <s v="CMR004002"/>
    <s v="Fotokol"/>
    <s v="CMR004002008"/>
    <n v="14.991949999999999"/>
    <n v="11.875548"/>
  </r>
  <r>
    <x v="1"/>
    <s v="CMR004002"/>
    <s v="Goulfey"/>
    <s v="CMR004002002"/>
    <s v="AMDANE"/>
    <s v="CMR0040020101"/>
    <s v="Host_Family"/>
    <m/>
    <s v="Conflict_ISWA"/>
    <s v="Cameroon"/>
    <s v="CMR"/>
    <s v="Extrême-Nord"/>
    <s v="CMR004"/>
    <s v="Logone-Et-Chari"/>
    <s v="CMR004002"/>
    <s v="Fotokol"/>
    <s v="CMR004002008"/>
    <n v="14.827083"/>
    <n v="12.406076000000001"/>
  </r>
  <r>
    <x v="1"/>
    <s v="CMR004002"/>
    <s v="Goulfey"/>
    <s v="CMR004002002"/>
    <s v="ARDEBE"/>
    <s v="CMR0040020134"/>
    <s v="Host_Family"/>
    <m/>
    <s v="Conflict_ISWA"/>
    <s v="Cameroon"/>
    <s v="CMR"/>
    <s v="Extrême-Nord"/>
    <s v="CMR004"/>
    <s v="Logone-Et-Chari"/>
    <s v="CMR004002"/>
    <s v="Fotokol"/>
    <s v="CMR004002008"/>
    <n v="15.050891999999999"/>
    <n v="12.050858"/>
  </r>
  <r>
    <x v="1"/>
    <s v="CMR004002"/>
    <s v="Goulfey"/>
    <s v="CMR004002002"/>
    <s v="AKMASSIRAK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FITCHOY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GLEY BAKAR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Goulfey"/>
    <s v="CMR004002002"/>
    <s v="KRENEKTOM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MICH MICH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MOLODI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MOULONANG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MOULOUNANG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WALAG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Goulfey"/>
    <s v="CMR004002002"/>
    <s v="BOUTALHADEM"/>
    <s v="CMR0040020240"/>
    <s v="Host_Family"/>
    <m/>
    <s v="Conflict_ISWA"/>
    <s v="Cameroon"/>
    <s v="CMR"/>
    <s v="Extrême-Nord"/>
    <s v="CMR004"/>
    <s v="Logone-Et-Chari"/>
    <s v="CMR004002"/>
    <s v="Fotokol"/>
    <s v="CMR004002008"/>
    <n v="14.742482000000001"/>
    <n v="12.510966"/>
  </r>
  <r>
    <x v="1"/>
    <s v="CMR004002"/>
    <s v="Goulfey"/>
    <s v="CMR004002002"/>
    <s v="GLEDO"/>
    <s v="CMR0040020473"/>
    <s v="Host_Family"/>
    <m/>
    <s v="Conflict_ISWA"/>
    <s v="Cameroon"/>
    <s v="CMR"/>
    <s v="Extrême-Nord"/>
    <s v="CMR004"/>
    <s v="Logone-Et-Chari"/>
    <s v="CMR004002"/>
    <s v="Fotokol"/>
    <s v="CMR004002008"/>
    <n v="14.783217"/>
    <n v="12.216443999999999"/>
  </r>
  <r>
    <x v="1"/>
    <s v="CMR004002"/>
    <s v="Goulfey"/>
    <s v="CMR004002002"/>
    <s v="GOULFEY"/>
    <s v="CMR0040020506"/>
    <s v="Host_Family"/>
    <m/>
    <s v="Conflict_ISWA"/>
    <s v="Cameroon"/>
    <s v="CMR"/>
    <s v="Extrême-Nord"/>
    <s v="CMR004"/>
    <s v="Logone-Et-Chari"/>
    <s v="CMR004002"/>
    <s v="Fotokol"/>
    <s v="CMR004002008"/>
    <n v="14.929874"/>
    <n v="12.379930999999999"/>
  </r>
  <r>
    <x v="1"/>
    <s v="CMR004002"/>
    <s v="Goulfey"/>
    <s v="CMR004002002"/>
    <s v="GOULFEY"/>
    <s v="CMR0040020506"/>
    <s v="Host_Family"/>
    <m/>
    <s v="Conflict_ISWA"/>
    <s v="Cameroon"/>
    <s v="CMR"/>
    <s v="Extrême-Nord"/>
    <s v="CMR004"/>
    <s v="Logone-Et-Chari"/>
    <s v="CMR004002"/>
    <s v="Makary"/>
    <s v="CMR004002009"/>
    <n v="14.929874"/>
    <n v="12.379930999999999"/>
  </r>
  <r>
    <x v="1"/>
    <s v="CMR004002"/>
    <s v="Goulfey"/>
    <s v="CMR004002002"/>
    <s v="HABOBA"/>
    <s v="CMR0040020545"/>
    <s v="Host_Family"/>
    <m/>
    <s v="Conflict_ISWA"/>
    <s v="Cameroon"/>
    <s v="CMR"/>
    <s v="Extrême-Nord"/>
    <s v="CMR004"/>
    <s v="Logone-Et-Chari"/>
    <s v="CMR004002"/>
    <s v="Fotokol"/>
    <s v="CMR004002008"/>
    <n v="14.749714000000001"/>
    <n v="12.402772000000001"/>
  </r>
  <r>
    <x v="1"/>
    <s v="CMR004002"/>
    <s v="Goulfey"/>
    <s v="CMR004002002"/>
    <s v="ILLETE"/>
    <s v="CMR0040020571"/>
    <s v="Host_Family"/>
    <m/>
    <s v="Conflict_ISWA"/>
    <s v="Cameroon"/>
    <s v="CMR"/>
    <s v="Extrême-Nord"/>
    <s v="CMR004"/>
    <s v="Logone-Et-Chari"/>
    <s v="CMR004002"/>
    <s v="Fotokol"/>
    <s v="CMR004002008"/>
    <n v="14.723628"/>
    <n v="12.660116"/>
  </r>
  <r>
    <x v="1"/>
    <s v="CMR004002"/>
    <s v="Goulfey"/>
    <s v="CMR004002002"/>
    <s v="MABRAKA"/>
    <s v="CMR0040020718"/>
    <s v="Host_Family"/>
    <m/>
    <s v="Conflict_ISWA"/>
    <s v="Cameroon"/>
    <s v="CMR"/>
    <s v="Extrême-Nord"/>
    <s v="CMR004"/>
    <s v="Logone-Et-Chari"/>
    <s v="CMR004002"/>
    <s v="Fotokol"/>
    <s v="CMR004002008"/>
    <n v="14.75"/>
    <n v="12.433332999999999"/>
  </r>
  <r>
    <x v="1"/>
    <s v="CMR004002"/>
    <s v="Goulfey"/>
    <s v="CMR004002002"/>
    <s v="MAFANDE"/>
    <s v="CMR0040020738"/>
    <s v="Host_Family"/>
    <m/>
    <s v="Conflict_ISWA"/>
    <s v="Cameroon"/>
    <s v="CMR"/>
    <s v="Extrême-Nord"/>
    <s v="CMR004"/>
    <s v="Logone-Et-Chari"/>
    <s v="CMR004002"/>
    <s v="Fotokol"/>
    <s v="CMR004002008"/>
    <n v="14.383333"/>
    <n v="12.45"/>
  </r>
  <r>
    <x v="1"/>
    <s v="CMR004002"/>
    <s v="Goulfey"/>
    <s v="CMR004002002"/>
    <s v="MAHADIRI"/>
    <s v="CMR0040020758"/>
    <s v="Host_Family"/>
    <m/>
    <s v="Conflict_ISWA"/>
    <s v="Cameroon"/>
    <s v="CMR"/>
    <s v="Extrême-Nord"/>
    <s v="CMR004"/>
    <s v="Logone-Et-Chari"/>
    <s v="CMR004002"/>
    <s v="Fotokol"/>
    <s v="CMR004002008"/>
    <n v="14.75"/>
    <n v="12.4"/>
  </r>
  <r>
    <x v="1"/>
    <s v="CMR004002"/>
    <s v="Goulfey"/>
    <s v="CMR004002002"/>
    <s v="MALA"/>
    <s v="CMR0040020774"/>
    <s v="Host_Family"/>
    <m/>
    <s v="Conflict_ISWA"/>
    <s v="Cameroon"/>
    <s v="CMR"/>
    <s v="Extrême-Nord"/>
    <s v="CMR004"/>
    <s v="Logone-Et-Chari"/>
    <s v="CMR004002"/>
    <s v="Fotokol"/>
    <s v="CMR004002008"/>
    <n v="14.783333000000001"/>
    <n v="12.533333000000001"/>
  </r>
  <r>
    <x v="1"/>
    <s v="CMR004002"/>
    <s v="Goulfey"/>
    <s v="CMR004002002"/>
    <s v="MALA"/>
    <s v="CMR0040020774"/>
    <s v="Host_Family"/>
    <m/>
    <s v="Conflict_ISWA"/>
    <s v="Cameroon"/>
    <s v="CMR"/>
    <s v="Extrême-Nord"/>
    <s v="CMR004"/>
    <s v="Logone-Et-Chari"/>
    <s v="CMR004002"/>
    <s v="Fotokol"/>
    <s v="CMR004002008"/>
    <n v="14.783333000000001"/>
    <n v="12.533333000000001"/>
  </r>
  <r>
    <x v="1"/>
    <s v="CMR004002"/>
    <s v="Goulfey"/>
    <s v="CMR004002002"/>
    <s v="MAYA"/>
    <s v="CMR0040010320"/>
    <s v="Host_Family"/>
    <m/>
    <s v="Conflict_ISWA"/>
    <s v="Cameroon"/>
    <s v="CMR"/>
    <s v="Extrême-Nord"/>
    <s v="CMR004"/>
    <s v="Logone-Et-Chari"/>
    <s v="CMR004002"/>
    <s v="Fotokol"/>
    <s v="CMR004002008"/>
    <n v="14.454148999999999"/>
    <n v="10.947327"/>
  </r>
  <r>
    <x v="1"/>
    <s v="CMR004002"/>
    <s v="Goulfey"/>
    <s v="CMR004002002"/>
    <s v="NGUETOYA"/>
    <s v="CMR0040020981"/>
    <s v="Host_Family"/>
    <m/>
    <s v="Conflict_ISWA"/>
    <s v="Cameroon"/>
    <s v="CMR"/>
    <s v="Extrême-Nord"/>
    <s v="CMR004"/>
    <s v="Logone-Et-Chari"/>
    <s v="CMR004002"/>
    <s v="Fotokol"/>
    <s v="CMR004002008"/>
    <n v="14.7102"/>
    <n v="12.469942"/>
  </r>
  <r>
    <x v="1"/>
    <s v="CMR004002"/>
    <s v="Goulfey"/>
    <s v="CMR004002002"/>
    <s v="NIGUE"/>
    <s v="CMR0040020986"/>
    <s v="Host_Family"/>
    <m/>
    <s v="Conflict_ISWA"/>
    <s v="Cameroon"/>
    <s v="CMR"/>
    <s v="Extrême-Nord"/>
    <s v="CMR004"/>
    <s v="Logone-Et-Chari"/>
    <s v="CMR004002"/>
    <s v="Fotokol"/>
    <s v="CMR004002008"/>
    <n v="14.745934"/>
    <n v="12.428034"/>
  </r>
  <r>
    <x v="1"/>
    <s v="CMR004002"/>
    <s v="Goulfey"/>
    <s v="CMR004002002"/>
    <s v="NIMIA"/>
    <s v="CMR0040020987"/>
    <s v="Host_Family"/>
    <m/>
    <s v="Conflict_ISWA"/>
    <s v="Cameroon"/>
    <s v="CMR"/>
    <s v="Extrême-Nord"/>
    <s v="CMR004"/>
    <s v="Logone-Et-Chari"/>
    <s v="CMR004002"/>
    <s v="Fotokol"/>
    <s v="CMR004002008"/>
    <n v="14.854911"/>
    <n v="12.355528"/>
  </r>
  <r>
    <x v="1"/>
    <s v="CMR004002"/>
    <s v="Goulfey"/>
    <s v="CMR004002002"/>
    <s v="NOGRAM"/>
    <s v="CMR0040020993"/>
    <s v="Host_Family"/>
    <m/>
    <s v="Conflict_ISWA"/>
    <s v="Cameroon"/>
    <s v="CMR"/>
    <s v="Extrême-Nord"/>
    <s v="CMR004"/>
    <s v="Logone-Et-Chari"/>
    <s v="CMR004002"/>
    <s v="Makary"/>
    <s v="CMR004002009"/>
    <n v="14.65"/>
    <n v="12.6"/>
  </r>
  <r>
    <x v="1"/>
    <s v="CMR004002"/>
    <s v="Goulfey"/>
    <s v="CMR004002002"/>
    <s v="TAKOULOUWEBE"/>
    <s v="CMR0040021150"/>
    <s v="Host_Family"/>
    <m/>
    <s v="Conflict_ISWA"/>
    <s v="Cameroon"/>
    <s v="CMR"/>
    <s v="Extrême-Nord"/>
    <s v="CMR004"/>
    <s v="Logone-Et-Chari"/>
    <s v="CMR004002"/>
    <s v="Fotokol"/>
    <s v="CMR004002008"/>
    <n v="14.800176"/>
    <n v="12.484536"/>
  </r>
  <r>
    <x v="1"/>
    <s v="CMR004002"/>
    <s v="Goulfey"/>
    <s v="CMR004002002"/>
    <s v="TANE"/>
    <s v="CMR0040021154"/>
    <s v="Host_Family"/>
    <m/>
    <s v="Conflict_ISWA"/>
    <s v="Cameroon"/>
    <s v="CMR"/>
    <s v="Extrême-Nord"/>
    <s v="CMR004"/>
    <s v="Logone-Et-Chari"/>
    <s v="CMR004002"/>
    <s v="Makary"/>
    <s v="CMR004002009"/>
    <n v="14.788290999999999"/>
    <n v="12.512941"/>
  </r>
  <r>
    <x v="1"/>
    <s v="CMR004002"/>
    <s v="Goulfey"/>
    <s v="CMR004002002"/>
    <s v="TILAM"/>
    <s v="CMR0040021174"/>
    <s v="Host_Family"/>
    <m/>
    <s v="Conflict_ISWA"/>
    <s v="Cameroon"/>
    <s v="CMR"/>
    <s v="Extrême-Nord"/>
    <s v="CMR004"/>
    <s v="Logone-Et-Chari"/>
    <s v="CMR004002"/>
    <s v="Makary"/>
    <s v="CMR004002009"/>
    <n v="14.709344"/>
    <n v="12.35596"/>
  </r>
  <r>
    <x v="1"/>
    <s v="CMR004002"/>
    <s v="Goulfey"/>
    <s v="CMR004002002"/>
    <s v="ZALAT"/>
    <s v="CMR0040021217"/>
    <s v="Host_Family"/>
    <m/>
    <s v="Conflict_ISWA"/>
    <s v="Cameroon"/>
    <s v="CMR"/>
    <s v="Extrême-Nord"/>
    <s v="CMR004"/>
    <s v="Logone-Et-Chari"/>
    <s v="CMR004002"/>
    <s v="Fotokol"/>
    <s v="CMR004002008"/>
    <n v="14.786073"/>
    <n v="12.343344"/>
  </r>
  <r>
    <x v="1"/>
    <s v="CMR004002"/>
    <s v="Hile-Alifa"/>
    <s v="CMR004002010"/>
    <s v="ABASOUNI"/>
    <s v="CMR0040020006"/>
    <s v="Host_Family"/>
    <m/>
    <s v="Conflict_ISWA"/>
    <s v="Cameroon"/>
    <s v="CMR"/>
    <s v="Extrême-Nord"/>
    <s v="CMR004"/>
    <s v="Logone-Et-Chari"/>
    <s v="CMR004002"/>
    <s v="Hile-Alifa"/>
    <s v="CMR004002010"/>
    <n v="14.285223999999999"/>
    <n v="12.673044000000001"/>
  </r>
  <r>
    <x v="1"/>
    <s v="CMR004002"/>
    <s v="Hile-Alifa"/>
    <s v="CMR004002010"/>
    <s v="ABASSOUNII"/>
    <s v="CMR0040020007"/>
    <s v="Host_Family"/>
    <m/>
    <s v="Conflict_ISWA"/>
    <s v="Cameroon"/>
    <s v="CMR"/>
    <s v="Extrême-Nord"/>
    <s v="CMR004"/>
    <s v="Logone-Et-Chari"/>
    <s v="CMR004002"/>
    <s v="Fotokol"/>
    <s v="CMR004002008"/>
    <n v="14.285223999999999"/>
    <n v="12.673044000000001"/>
  </r>
  <r>
    <x v="1"/>
    <s v="CMR004002"/>
    <s v="Hile-Alifa"/>
    <s v="CMR004002010"/>
    <s v="ABASSOUNIII"/>
    <s v="CMR0040020008"/>
    <s v="Host_Family"/>
    <m/>
    <s v="Conflict_ISWA"/>
    <s v="Cameroon"/>
    <s v="CMR"/>
    <s v="Extrême-Nord"/>
    <s v="CMR004"/>
    <s v="Logone-Et-Chari"/>
    <s v="CMR004002"/>
    <s v="Hile-Alifa"/>
    <s v="CMR004002010"/>
    <n v="14.295385"/>
    <n v="12.673519000000001"/>
  </r>
  <r>
    <x v="1"/>
    <s v="CMR004002"/>
    <s v="Hile-Alifa"/>
    <s v="CMR004002010"/>
    <s v="BARAGAM 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BARAGAM I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DOUCHE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FADJA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GONONE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HILE ALIFA 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HILE ALIFA I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HILE-TANDALGU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KALORAM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KAMOUNA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MOURDASS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NDJIBOUNILA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TERBOU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TOUBOUM ALLI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TOUBOUMKOURE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WADAK"/>
    <m/>
    <s v="Host_Family"/>
    <m/>
    <s v="Conflict_ISWA"/>
    <s v="Cameroon"/>
    <s v="CMR"/>
    <s v="Extrême-Nord"/>
    <s v="CMR004"/>
    <s v="Logone-Et-Chari"/>
    <s v="CMR004002"/>
    <s v="Hile-Alifa"/>
    <s v="CMR004002010"/>
    <m/>
    <m/>
  </r>
  <r>
    <x v="1"/>
    <s v="CMR004002"/>
    <s v="Hile-Alifa"/>
    <s v="CMR004002010"/>
    <s v="DOLE"/>
    <s v="CMR0040020356"/>
    <s v="Host_Family"/>
    <m/>
    <s v="Conflict_ISWA"/>
    <s v="Cameroon"/>
    <s v="CMR"/>
    <s v="Extrême-Nord"/>
    <s v="CMR004"/>
    <s v="Logone-Et-Chari"/>
    <s v="CMR004002"/>
    <s v="Hile-Alifa"/>
    <s v="CMR004002010"/>
    <n v="14.266667"/>
    <n v="12.633333"/>
  </r>
  <r>
    <x v="1"/>
    <s v="CMR004002"/>
    <s v="Hile-Alifa"/>
    <s v="CMR004002010"/>
    <s v="DOLE"/>
    <s v="CMR0040020356"/>
    <s v="Host_Family"/>
    <m/>
    <s v="Conflict_ISWA"/>
    <s v="Cameroon"/>
    <s v="CMR"/>
    <s v="Extrême-Nord"/>
    <s v="CMR004"/>
    <s v="Logone-Et-Chari"/>
    <s v="CMR004002"/>
    <s v="Hile-Alifa"/>
    <s v="CMR004002010"/>
    <n v="14.266667"/>
    <n v="12.633333"/>
  </r>
  <r>
    <x v="1"/>
    <s v="CMR004002"/>
    <s v="Hile-Alifa"/>
    <s v="CMR004002010"/>
    <s v="DOUGOUMSILIO"/>
    <s v="CMR0040020385"/>
    <s v="Host_Family"/>
    <m/>
    <s v="Conflict_ISWA"/>
    <s v="Cameroon"/>
    <s v="CMR"/>
    <s v="Extrême-Nord"/>
    <s v="CMR004"/>
    <s v="Logone-Et-Chari"/>
    <s v="CMR004002"/>
    <s v="Hile-Alifa"/>
    <s v="CMR004002010"/>
    <n v="14.398733"/>
    <n v="12.603870000000001"/>
  </r>
  <r>
    <x v="1"/>
    <s v="CMR004002"/>
    <s v="Hile-Alifa"/>
    <s v="CMR004002010"/>
    <s v="DOUGOUMSILIOI"/>
    <s v="CMR0040020386"/>
    <s v="Host_Family"/>
    <m/>
    <s v="Conflict_ISWA"/>
    <s v="Cameroon"/>
    <s v="CMR"/>
    <s v="Extrême-Nord"/>
    <s v="CMR004"/>
    <s v="Logone-Et-Chari"/>
    <s v="CMR004002"/>
    <s v="Hile-Alifa"/>
    <s v="CMR004002010"/>
    <n v="14.406636000000001"/>
    <n v="12.581213999999999"/>
  </r>
  <r>
    <x v="1"/>
    <s v="CMR004002"/>
    <s v="Hile-Alifa"/>
    <s v="CMR004002010"/>
    <s v="MADINA"/>
    <s v="CMR00400204997"/>
    <s v="Host_Family"/>
    <m/>
    <s v="Conflict_ISWA"/>
    <s v="Cameroon"/>
    <s v="CMR"/>
    <s v="Extrême-Nord"/>
    <s v="CMR004"/>
    <s v="Logone-Et-Chari"/>
    <s v="CMR004002"/>
    <s v="Hile-Alifa"/>
    <s v="CMR004002010"/>
    <n v="14.343925"/>
    <n v="12.373348999999999"/>
  </r>
  <r>
    <x v="1"/>
    <s v="CMR004002"/>
    <s v="Hile-Alifa"/>
    <s v="CMR004002010"/>
    <s v="MAFANDE"/>
    <s v="CMR0040020738"/>
    <s v="Host_Family"/>
    <m/>
    <s v="Conflict_ISWA"/>
    <s v="Cameroon"/>
    <s v="CMR"/>
    <s v="Extrême-Nord"/>
    <s v="CMR004"/>
    <s v="Logone-Et-Chari"/>
    <s v="CMR004002"/>
    <s v="Hile-Alifa"/>
    <s v="CMR004002010"/>
    <n v="14.383333"/>
    <n v="12.45"/>
  </r>
  <r>
    <x v="1"/>
    <s v="CMR004002"/>
    <s v="Hile-Alifa"/>
    <s v="CMR004002010"/>
    <s v="MAFOULSO"/>
    <s v="CMR0040020743"/>
    <s v="Host_Family"/>
    <m/>
    <s v="Conflict_ISWA"/>
    <s v="Cameroon"/>
    <s v="CMR"/>
    <s v="Extrême-Nord"/>
    <s v="CMR004"/>
    <s v="Logone-Et-Chari"/>
    <s v="CMR004002"/>
    <s v="Hile-Alifa"/>
    <s v="CMR004002010"/>
    <n v="14.354200000000001"/>
    <n v="12.678259000000001"/>
  </r>
  <r>
    <x v="1"/>
    <s v="CMR004002"/>
    <s v="Hile-Alifa"/>
    <s v="CMR004002010"/>
    <s v="TCHIKA"/>
    <s v="CMR0040021163"/>
    <s v="Host_Family"/>
    <m/>
    <s v="Conflict_ISWA"/>
    <s v="Cameroon"/>
    <s v="CMR"/>
    <s v="Extrême-Nord"/>
    <s v="CMR004"/>
    <s v="Logone-Et-Chari"/>
    <s v="CMR004002"/>
    <s v="Hile-Alifa"/>
    <s v="CMR004002010"/>
    <n v="14.280328000000001"/>
    <n v="12.784606999999999"/>
  </r>
  <r>
    <x v="1"/>
    <s v="CMR004002"/>
    <s v="Hile-Alifa"/>
    <s v="CMR004002010"/>
    <s v="TCHIKA"/>
    <s v="CMR0040021163"/>
    <s v="Host_Family"/>
    <m/>
    <s v="Conflict_ISWA"/>
    <s v="Cameroon"/>
    <s v="CMR"/>
    <s v="Extrême-Nord"/>
    <s v="CMR004"/>
    <s v="Logone-Et-Chari"/>
    <s v="CMR004002"/>
    <s v="Hile-Alifa"/>
    <s v="CMR004002010"/>
    <n v="14.280328000000001"/>
    <n v="12.784606999999999"/>
  </r>
  <r>
    <x v="1"/>
    <s v="CMR004002"/>
    <s v="Hile-Alifa"/>
    <s v="CMR004002010"/>
    <s v="TCHIKA"/>
    <s v="CMR0040021163"/>
    <s v="Host_Family"/>
    <m/>
    <s v="Conflict_ISWA"/>
    <s v="Cameroon"/>
    <s v="CMR"/>
    <s v="Extrême-Nord"/>
    <s v="CMR004"/>
    <s v="Logone-Et-Chari"/>
    <s v="CMR004002"/>
    <s v="Hile-Alifa"/>
    <s v="CMR004002010"/>
    <n v="14.280328000000001"/>
    <n v="12.784606999999999"/>
  </r>
  <r>
    <x v="1"/>
    <s v="CMR004002"/>
    <s v="Hile-Alifa"/>
    <s v="CMR004002010"/>
    <s v="TCHIKA"/>
    <s v="CMR0040021163"/>
    <s v="Host_Family"/>
    <m/>
    <s v="Conflict_ISWA"/>
    <s v="Cameroon"/>
    <s v="CMR"/>
    <s v="Extrême-Nord"/>
    <s v="CMR004"/>
    <s v="Logone-Et-Chari"/>
    <s v="CMR004002"/>
    <s v="Hile-Alifa"/>
    <s v="CMR004002010"/>
    <n v="14.280328000000001"/>
    <n v="12.784606999999999"/>
  </r>
  <r>
    <x v="1"/>
    <s v="CMR004002"/>
    <s v="Kousseri"/>
    <s v="CMR004002006"/>
    <s v="ALAYA"/>
    <s v="CMR0040020070"/>
    <s v="Host_Family"/>
    <m/>
    <s v="Conflict_ISWA"/>
    <s v="Cameroon"/>
    <s v="CMR"/>
    <s v="Extrême-Nord"/>
    <s v="CMR004"/>
    <s v="Logone-Et-Chari"/>
    <s v="CMR004002"/>
    <s v="Makary"/>
    <s v="CMR004002009"/>
    <n v="14.931832"/>
    <n v="12.042977"/>
  </r>
  <r>
    <x v="1"/>
    <s v="CMR004002"/>
    <s v="Kousseri"/>
    <s v="CMR004002006"/>
    <s v="AMCHEDIRE"/>
    <s v="CMR0040020084"/>
    <s v="Host_Family"/>
    <m/>
    <s v="Conflict_ISWA"/>
    <s v="Cameroon"/>
    <s v="CMR"/>
    <s v="Extrême-Nord"/>
    <s v="CMR004"/>
    <s v="Logone-Et-Chari"/>
    <s v="CMR004002"/>
    <s v="Makary"/>
    <s v="CMR004002009"/>
    <n v="14.617481"/>
    <n v="11.822212"/>
  </r>
  <r>
    <x v="1"/>
    <s v="CMR004002"/>
    <s v="Kousseri"/>
    <s v="CMR004002006"/>
    <s v="ARDEBE"/>
    <s v="CMR0040020134"/>
    <s v="Host_Family"/>
    <m/>
    <s v="Conflict_ISWA"/>
    <s v="Cameroon"/>
    <s v="CMR"/>
    <s v="Extrême-Nord"/>
    <s v="CMR004"/>
    <s v="Logone-Et-Chari"/>
    <s v="CMR004002"/>
    <s v="Fotokol"/>
    <s v="CMR004002008"/>
    <n v="15.050891999999999"/>
    <n v="12.050858"/>
  </r>
  <r>
    <x v="1"/>
    <s v="CMR004002"/>
    <s v="Kousseri"/>
    <s v="CMR004002006"/>
    <s v="BALOU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Kousseri"/>
    <s v="CMR004002006"/>
    <s v="GUERGUERABA"/>
    <m/>
    <s v="Host_Family"/>
    <m/>
    <s v="Conflict_ISWA"/>
    <s v="Cameroon"/>
    <s v="CMR"/>
    <s v="Extrême-Nord"/>
    <s v="CMR004"/>
    <s v="Logone-Et-Chari"/>
    <s v="CMR004002"/>
    <s v="Fotokol"/>
    <s v="CMR004002008"/>
    <m/>
    <m/>
  </r>
  <r>
    <x v="1"/>
    <s v="CMR004002"/>
    <s v="Kousseri"/>
    <s v="CMR004002006"/>
    <s v="KODOGO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Kousseri"/>
    <s v="CMR004002006"/>
    <s v="SOKOTO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Kousseri"/>
    <s v="CMR004002006"/>
    <s v="WALLY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Kousseri"/>
    <s v="CMR004002006"/>
    <s v="GADOUBA"/>
    <s v="CMR0040020446"/>
    <s v="Host_Family"/>
    <m/>
    <s v="Conflict_ISWA"/>
    <s v="Cameroon"/>
    <s v="CMR"/>
    <s v="Extrême-Nord"/>
    <s v="CMR004"/>
    <s v="Logone-Et-Chari"/>
    <s v="CMR004002"/>
    <s v="Makary"/>
    <s v="CMR004002009"/>
    <n v="14.996103"/>
    <n v="11.364731000000001"/>
  </r>
  <r>
    <x v="1"/>
    <s v="CMR004002"/>
    <s v="Kousseri"/>
    <s v="CMR004002006"/>
    <s v="HERAZAYA"/>
    <s v="CMR0040020556"/>
    <s v="Host_Family"/>
    <m/>
    <s v="Conflict_ISWA"/>
    <s v="Cameroon"/>
    <s v="CMR"/>
    <s v="Extrême-Nord"/>
    <s v="CMR004"/>
    <s v="Logone-Et-Chari"/>
    <s v="CMR004002"/>
    <s v="Fotokol"/>
    <s v="CMR004002008"/>
    <n v="15.016904"/>
    <n v="12.080166999999999"/>
  </r>
  <r>
    <x v="1"/>
    <s v="CMR004002"/>
    <s v="Kousseri"/>
    <s v="CMR004002006"/>
    <s v="IBOU"/>
    <s v="CMR0040020570"/>
    <s v="Host_Family"/>
    <m/>
    <s v="Conflict_ISWA"/>
    <s v="Cameroon"/>
    <s v="CMR"/>
    <s v="Extrême-Nord"/>
    <s v="CMR004"/>
    <s v="Logone-Et-Chari"/>
    <s v="CMR004002"/>
    <s v="Makary"/>
    <s v="CMR004002009"/>
    <n v="15.01591"/>
    <n v="12.050103999999999"/>
  </r>
  <r>
    <x v="1"/>
    <s v="CMR004002"/>
    <s v="Kousseri"/>
    <s v="CMR004002006"/>
    <s v="KROUAN"/>
    <s v="CMR00400200998"/>
    <s v="Host_Family"/>
    <m/>
    <s v="Conflict_ISWA"/>
    <s v="Cameroon"/>
    <s v="CMR"/>
    <s v="Extrême-Nord"/>
    <s v="CMR004"/>
    <s v="Logone-Et-Chari"/>
    <s v="CMR004002"/>
    <s v="Makary"/>
    <s v="CMR004002009"/>
    <n v="14.933332999999999"/>
    <n v="12.083333"/>
  </r>
  <r>
    <x v="1"/>
    <s v="CMR004002"/>
    <s v="Kousseri"/>
    <s v="CMR004002006"/>
    <s v="KROUAN"/>
    <s v="CMR00400200998"/>
    <s v="Host_Family"/>
    <m/>
    <s v="Conflict_ISWA"/>
    <s v="Cameroon"/>
    <s v="CMR"/>
    <s v="Extrême-Nord"/>
    <s v="CMR004"/>
    <s v="Logone-Et-Chari"/>
    <s v="CMR004002"/>
    <s v="Fotokol"/>
    <s v="CMR004002008"/>
    <n v="14.933332999999999"/>
    <n v="12.083333"/>
  </r>
  <r>
    <x v="1"/>
    <s v="CMR004002"/>
    <s v="Kousseri"/>
    <s v="CMR004002006"/>
    <s v="MADAGASCAR"/>
    <s v="CMR00400200996"/>
    <s v="Host_Family"/>
    <m/>
    <s v="Conflict_ISWA"/>
    <s v="Cameroon"/>
    <s v="CMR"/>
    <s v="Extrême-Nord"/>
    <s v="CMR004"/>
    <s v="Logone-Et-Chari"/>
    <s v="CMR004002"/>
    <s v="Fotokol"/>
    <s v="CMR004002008"/>
    <n v="14.933332999999999"/>
    <n v="12.083333"/>
  </r>
  <r>
    <x v="1"/>
    <s v="CMR004002"/>
    <s v="Kousseri"/>
    <s v="CMR004002006"/>
    <s v="MADEIK"/>
    <s v="CMR0040020731"/>
    <s v="Host_Family"/>
    <m/>
    <s v="Conflict_ISWA"/>
    <s v="Cameroon"/>
    <s v="CMR"/>
    <s v="Extrême-Nord"/>
    <s v="CMR004"/>
    <s v="Logone-Et-Chari"/>
    <s v="CMR004002"/>
    <s v="Makary"/>
    <s v="CMR004002009"/>
    <n v="14.576646999999999"/>
    <n v="12.69731"/>
  </r>
  <r>
    <x v="1"/>
    <s v="CMR004002"/>
    <s v="Kousseri"/>
    <s v="CMR004002006"/>
    <s v="MAIMANI"/>
    <s v="CMR00400200995"/>
    <s v="Host_Family"/>
    <m/>
    <s v="Conflict_ISWA"/>
    <s v="Cameroon"/>
    <s v="CMR"/>
    <s v="Extrême-Nord"/>
    <s v="CMR004"/>
    <s v="Logone-Et-Chari"/>
    <s v="CMR004002"/>
    <s v="Fotokol"/>
    <s v="CMR004002008"/>
    <n v="14.933332999999999"/>
    <n v="12.083333"/>
  </r>
  <r>
    <x v="1"/>
    <s v="CMR004002"/>
    <s v="Kousseri"/>
    <s v="CMR004002006"/>
    <s v="MARAKO"/>
    <s v="CMR0040020804"/>
    <s v="Host_Family"/>
    <m/>
    <s v="Conflict_ISWA"/>
    <s v="Cameroon"/>
    <s v="CMR"/>
    <s v="Extrême-Nord"/>
    <s v="CMR004"/>
    <s v="Logone-Et-Chari"/>
    <s v="CMR004002"/>
    <s v="Makary"/>
    <s v="CMR004002009"/>
    <n v="14.961128"/>
    <n v="12.089366"/>
  </r>
  <r>
    <x v="1"/>
    <s v="CMR004002"/>
    <s v="Kousseri"/>
    <s v="CMR004002006"/>
    <s v="MASSAKI"/>
    <s v="CMR0040020827"/>
    <s v="Host_Family"/>
    <m/>
    <s v="Conflict_ISWA"/>
    <s v="Cameroon"/>
    <s v="CMR"/>
    <s v="Extrême-Nord"/>
    <s v="CMR004"/>
    <s v="Logone-Et-Chari"/>
    <s v="CMR004002"/>
    <s v="Fotokol"/>
    <s v="CMR004002008"/>
    <n v="14.987880000000001"/>
    <n v="12.083152"/>
  </r>
  <r>
    <x v="1"/>
    <s v="CMR004002"/>
    <s v="Kousseri"/>
    <s v="CMR004002006"/>
    <s v="NAGA"/>
    <s v="CMR0040020915"/>
    <s v="Host_Family"/>
    <m/>
    <s v="Conflict_ISWA"/>
    <s v="Cameroon"/>
    <s v="CMR"/>
    <s v="Extrême-Nord"/>
    <s v="CMR004"/>
    <s v="Logone-Et-Chari"/>
    <s v="CMR004002"/>
    <s v="Fotokol"/>
    <s v="CMR004002008"/>
    <n v="14.575552999999999"/>
    <n v="12.478358"/>
  </r>
  <r>
    <x v="1"/>
    <s v="CMR004002"/>
    <s v="Kousseri"/>
    <s v="CMR004002006"/>
    <s v="NGADA"/>
    <s v="CMR00400204999"/>
    <s v="Host_Family"/>
    <m/>
    <s v="Floods_Natural_Disasters"/>
    <s v="Cameroon"/>
    <s v="CMR"/>
    <s v="Extrême-Nord"/>
    <s v="CMR004"/>
    <s v="Logone-Et-Chari"/>
    <s v="CMR004002"/>
    <s v="Makary"/>
    <s v="CMR004002009"/>
    <n v="14.987398000000001"/>
    <n v="12.006472"/>
  </r>
  <r>
    <x v="1"/>
    <s v="CMR004002"/>
    <s v="Kousseri"/>
    <s v="CMR004002006"/>
    <s v="NGASKAFOUROU"/>
    <s v="CMR0040020962"/>
    <s v="Host_Family"/>
    <m/>
    <s v="Conflict_ISWA"/>
    <s v="Cameroon"/>
    <s v="CMR"/>
    <s v="Extrême-Nord"/>
    <s v="CMR004"/>
    <s v="Logone-Et-Chari"/>
    <s v="CMR004002"/>
    <s v="Makary"/>
    <s v="CMR004002009"/>
    <n v="14.704385"/>
    <n v="10.996923000000001"/>
  </r>
  <r>
    <x v="1"/>
    <s v="CMR004002"/>
    <s v="Kousseri"/>
    <s v="CMR004002006"/>
    <s v="NGOUMATI"/>
    <s v="CMR0040020969"/>
    <s v="Host_Family"/>
    <m/>
    <s v="Conflict_ISWA"/>
    <s v="Cameroon"/>
    <s v="CMR"/>
    <s v="Extrême-Nord"/>
    <s v="CMR004"/>
    <s v="Logone-Et-Chari"/>
    <s v="CMR004002"/>
    <s v="Makary"/>
    <s v="CMR004002009"/>
    <n v="14.933334"/>
    <n v="11.945264"/>
  </r>
  <r>
    <x v="1"/>
    <s v="CMR004002"/>
    <s v="Kousseri"/>
    <s v="CMR004002006"/>
    <s v="SAHABA"/>
    <s v="CMR0040021089"/>
    <s v="Host_Family"/>
    <m/>
    <s v="Conflict_ISWA"/>
    <s v="Cameroon"/>
    <s v="CMR"/>
    <s v="Extrême-Nord"/>
    <s v="CMR004"/>
    <s v="Logone-Et-Chari"/>
    <s v="CMR004002"/>
    <s v="Makary"/>
    <s v="CMR004002009"/>
    <n v="14.656962"/>
    <n v="12.499789"/>
  </r>
  <r>
    <x v="1"/>
    <s v="CMR004002"/>
    <s v="Logone-Birni"/>
    <s v="CMR004002004"/>
    <s v="HILOUGNANG"/>
    <m/>
    <s v="Host_Family"/>
    <m/>
    <s v="Conflict_ISWA"/>
    <s v="Cameroon"/>
    <s v="CMR"/>
    <s v="Extrême-Nord"/>
    <s v="CMR004"/>
    <s v="Logone-Et-Chari"/>
    <s v="CMR004002"/>
    <s v="Logone-Birni"/>
    <s v="CMR004002004"/>
    <m/>
    <m/>
  </r>
  <r>
    <x v="1"/>
    <s v="CMR004002"/>
    <s v="Logone-Birni"/>
    <s v="CMR004002004"/>
    <s v="CHAFO"/>
    <s v="CMR0040020247"/>
    <s v="Camp/Site"/>
    <s v="CHAFO I"/>
    <s v="Conflict_ISWA"/>
    <s v="Cameroon"/>
    <s v="CMR"/>
    <s v="Extrême-Nord"/>
    <s v="CMR004"/>
    <s v="Logone-Et-Chari"/>
    <s v="CMR004002"/>
    <s v="Logone-Birni"/>
    <s v="CMR004002004"/>
    <n v="14.723382000000001"/>
    <n v="12.139982"/>
  </r>
  <r>
    <x v="1"/>
    <s v="CMR004002"/>
    <s v="Logone-Birni"/>
    <s v="CMR004002004"/>
    <s v="GOULMA"/>
    <s v="CMR0040020507"/>
    <s v="Host_Family"/>
    <m/>
    <s v="Conflict_ISWA"/>
    <s v="Cameroon"/>
    <s v="CMR"/>
    <s v="Extrême-Nord"/>
    <s v="CMR004"/>
    <s v="Logone-Et-Chari"/>
    <s v="CMR004002"/>
    <s v="Logone-Birni"/>
    <s v="CMR004002004"/>
    <n v="14.670712"/>
    <n v="12.062627000000001"/>
  </r>
  <r>
    <x v="1"/>
    <s v="CMR004002"/>
    <s v="Logone-Birni"/>
    <s v="CMR004002004"/>
    <s v="KALKOUSSAM"/>
    <s v="CMR0040020593"/>
    <s v="Host_Family"/>
    <m/>
    <s v="Conflict_ISWA"/>
    <s v="Cameroon"/>
    <s v="CMR"/>
    <s v="Extrême-Nord"/>
    <s v="CMR004"/>
    <s v="Mayo-Sava"/>
    <s v="CMR004005"/>
    <s v="Mora"/>
    <s v="CMR004005002"/>
    <n v="14.972778"/>
    <n v="11.750556"/>
  </r>
  <r>
    <x v="1"/>
    <s v="CMR004002"/>
    <s v="Logone-Birni"/>
    <s v="CMR004002004"/>
    <s v="LOGONEBIRNI"/>
    <s v="CMR0040020711"/>
    <s v="Host_Family"/>
    <m/>
    <s v="Conflict_ISWA"/>
    <s v="Cameroon"/>
    <s v="CMR"/>
    <s v="Extrême-Nord"/>
    <s v="CMR004"/>
    <s v="Logone-Et-Chari"/>
    <s v="CMR004002"/>
    <s v="Fotokol"/>
    <s v="CMR004002008"/>
    <n v="15.10285"/>
    <n v="11.779336000000001"/>
  </r>
  <r>
    <x v="1"/>
    <s v="CMR004002"/>
    <s v="Logone-Birni"/>
    <s v="CMR004002004"/>
    <s v="LOGONEBIRNI"/>
    <s v="CMR0040020711"/>
    <s v="Host_Family"/>
    <m/>
    <s v="Floods_Natural_Disasters"/>
    <s v="Cameroon"/>
    <s v="CMR"/>
    <s v="Extrême-Nord"/>
    <s v="CMR004"/>
    <s v="Logone-Et-Chari"/>
    <s v="CMR004002"/>
    <s v="Logone-Birni"/>
    <s v="CMR004002004"/>
    <n v="15.10285"/>
    <n v="11.779336000000001"/>
  </r>
  <r>
    <x v="1"/>
    <s v="CMR004002"/>
    <s v="Logone-Birni"/>
    <s v="CMR004002004"/>
    <s v="NGADA"/>
    <s v="CMR00400204999"/>
    <s v="Host_Family"/>
    <m/>
    <s v="Conflict_ISWA"/>
    <s v="Cameroon"/>
    <s v="CMR"/>
    <s v="Extrême-Nord"/>
    <s v="CMR004"/>
    <s v="Mayo-Sava"/>
    <s v="CMR004005"/>
    <s v="Mora"/>
    <s v="CMR004005002"/>
    <n v="14.987398000000001"/>
    <n v="12.006472"/>
  </r>
  <r>
    <x v="1"/>
    <s v="CMR004002"/>
    <s v="Makary"/>
    <s v="CMR004002009"/>
    <s v="AFADE"/>
    <s v="CMR0040020049"/>
    <s v="Camp/Site"/>
    <s v="CAMP"/>
    <s v="Conflict_ISWA"/>
    <s v="Cameroon"/>
    <s v="CMR"/>
    <s v="Extrême-Nord"/>
    <s v="CMR004"/>
    <s v="Logone-Et-Chari"/>
    <s v="CMR004002"/>
    <s v="Makary"/>
    <s v="CMR004002009"/>
    <n v="14.654289"/>
    <n v="12.219792999999999"/>
  </r>
  <r>
    <x v="1"/>
    <s v="CMR004002"/>
    <s v="Makary"/>
    <s v="CMR004002009"/>
    <s v="ALAK"/>
    <s v="CMR0040020064"/>
    <s v="Camp/Site"/>
    <m/>
    <s v="Conflict_ISWA"/>
    <s v="Cameroon"/>
    <s v="CMR"/>
    <s v="Extrême-Nord"/>
    <s v="CMR004"/>
    <s v="Logone-Et-Chari"/>
    <s v="CMR004002"/>
    <s v="Makary"/>
    <s v="CMR004002009"/>
    <n v="14.539781"/>
    <n v="12.373485000000001"/>
  </r>
  <r>
    <x v="1"/>
    <s v="CMR004002"/>
    <s v="Makary"/>
    <s v="CMR004002009"/>
    <s v="ALAK"/>
    <s v="CMR0040020064"/>
    <s v="Host_Family"/>
    <m/>
    <s v="Conflict_ISWA"/>
    <s v="Cameroon"/>
    <s v="CMR"/>
    <s v="Extrême-Nord"/>
    <s v="CMR004"/>
    <s v="Logone-Et-Chari"/>
    <s v="CMR004002"/>
    <s v="Makary"/>
    <s v="CMR004002009"/>
    <n v="14.539781"/>
    <n v="12.373485000000001"/>
  </r>
  <r>
    <x v="1"/>
    <s v="CMR004002"/>
    <s v="Makary"/>
    <s v="CMR004002009"/>
    <s v="AMCHILGA"/>
    <s v="CMR0040020097"/>
    <s v="Host_Family"/>
    <m/>
    <s v="Conflict_ISWA"/>
    <s v="Cameroon"/>
    <s v="CMR"/>
    <s v="Extrême-Nord"/>
    <s v="CMR004"/>
    <s v="Logone-Et-Chari"/>
    <s v="CMR004002"/>
    <s v="Makary"/>
    <s v="CMR004002009"/>
    <n v="14.38945"/>
    <n v="12.524611"/>
  </r>
  <r>
    <x v="1"/>
    <s v="CMR004002"/>
    <s v="Makary"/>
    <s v="CMR004002009"/>
    <s v="AMSABANG"/>
    <s v="CMR0040020118"/>
    <s v="Host_Family"/>
    <m/>
    <s v="Conflict_ISWA"/>
    <s v="Cameroon"/>
    <s v="CMR"/>
    <s v="Extrême-Nord"/>
    <s v="CMR004"/>
    <s v="Logone-Et-Chari"/>
    <s v="CMR004002"/>
    <s v="Makary"/>
    <s v="CMR004002009"/>
    <n v="14.614354000000001"/>
    <n v="12.344779000000001"/>
  </r>
  <r>
    <x v="1"/>
    <s v="CMR004002"/>
    <s v="Makary"/>
    <s v="CMR004002009"/>
    <s v="ARDEB"/>
    <s v="CMR0040020132"/>
    <s v="Host_Family"/>
    <m/>
    <s v="Conflict_ISWA"/>
    <s v="Cameroon"/>
    <s v="CMR"/>
    <s v="Extrême-Nord"/>
    <s v="CMR004"/>
    <s v="Logone-Et-Chari"/>
    <s v="CMR004002"/>
    <s v="Makary"/>
    <s v="CMR004002009"/>
    <n v="14.516667"/>
    <n v="12.366667"/>
  </r>
  <r>
    <x v="1"/>
    <s v="CMR004002"/>
    <s v="Makary"/>
    <s v="CMR004002009"/>
    <s v="ANAMBARI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DJEKDJEKAYA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DJIMINI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HIDJELI DJE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NGOURNON"/>
    <m/>
    <s v="Camp/Site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NGUINEGUINE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WATCHO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WOUREDINE"/>
    <m/>
    <s v="Host_Family"/>
    <m/>
    <s v="Conflict_ISWA"/>
    <s v="Cameroon"/>
    <s v="CMR"/>
    <s v="Extrême-Nord"/>
    <s v="CMR004"/>
    <s v="Logone-Et-Chari"/>
    <s v="CMR004002"/>
    <s v="Makary"/>
    <s v="CMR004002009"/>
    <m/>
    <m/>
  </r>
  <r>
    <x v="1"/>
    <s v="CMR004002"/>
    <s v="Makary"/>
    <s v="CMR004002009"/>
    <s v="BIAMO"/>
    <s v="CMR0040020192"/>
    <s v="Host_Family"/>
    <m/>
    <s v="Conflict_ISWA"/>
    <s v="Cameroon"/>
    <s v="CMR"/>
    <s v="Extrême-Nord"/>
    <s v="CMR004"/>
    <s v="Logone-Et-Chari"/>
    <s v="CMR004002"/>
    <s v="Makary"/>
    <s v="CMR004002009"/>
    <n v="14.510147999999999"/>
    <n v="12.408004"/>
  </r>
  <r>
    <x v="1"/>
    <s v="CMR004002"/>
    <s v="Makary"/>
    <s v="CMR004002009"/>
    <s v="BODO"/>
    <s v="CMR0040020213"/>
    <s v="Host_Family"/>
    <m/>
    <s v="Conflict_ISWA"/>
    <s v="Cameroon"/>
    <s v="CMR"/>
    <s v="Extrême-Nord"/>
    <s v="CMR004"/>
    <s v="Logone-Et-Chari"/>
    <s v="CMR004002"/>
    <s v="Makary"/>
    <s v="CMR004002009"/>
    <n v="14.471966"/>
    <n v="12.359906000000001"/>
  </r>
  <r>
    <x v="1"/>
    <s v="CMR004002"/>
    <s v="Makary"/>
    <s v="CMR004002009"/>
    <s v="DIGAM"/>
    <s v="CMR0040020306"/>
    <s v="Host_Family"/>
    <m/>
    <s v="Conflict_ISWA"/>
    <s v="Cameroon"/>
    <s v="CMR"/>
    <s v="Extrême-Nord"/>
    <s v="CMR004"/>
    <s v="Logone-Et-Chari"/>
    <s v="CMR004002"/>
    <s v="Makary"/>
    <s v="CMR004002009"/>
    <n v="14.637732"/>
    <n v="12.377027"/>
  </r>
  <r>
    <x v="1"/>
    <s v="CMR004002"/>
    <s v="Makary"/>
    <s v="CMR004002009"/>
    <s v="DOLE"/>
    <s v="CMR0040020356"/>
    <s v="Host_Family"/>
    <m/>
    <s v="Conflict_ISWA"/>
    <s v="Cameroon"/>
    <s v="CMR"/>
    <s v="Extrême-Nord"/>
    <s v="CMR004"/>
    <s v="Logone-Et-Chari"/>
    <s v="CMR004002"/>
    <s v="Makary"/>
    <s v="CMR004002009"/>
    <n v="14.266667"/>
    <n v="12.633333"/>
  </r>
  <r>
    <x v="1"/>
    <s v="CMR004002"/>
    <s v="Makary"/>
    <s v="CMR004002009"/>
    <s v="FADJE"/>
    <s v="CMR0040020409"/>
    <s v="Host_Family"/>
    <m/>
    <s v="Conflict_ISWA"/>
    <s v="Cameroon"/>
    <s v="CMR"/>
    <s v="Extrême-Nord"/>
    <s v="CMR004"/>
    <s v="Logone-Et-Chari"/>
    <s v="CMR004002"/>
    <s v="Makary"/>
    <s v="CMR004002009"/>
    <n v="14.788347999999999"/>
    <n v="12.522824"/>
  </r>
  <r>
    <x v="1"/>
    <s v="CMR004002"/>
    <s v="Makary"/>
    <s v="CMR004002009"/>
    <s v="GLAO"/>
    <s v="CMR0040020472"/>
    <s v="Host_Family"/>
    <m/>
    <s v="Conflict_ISWA"/>
    <s v="Cameroon"/>
    <s v="CMR"/>
    <s v="Extrême-Nord"/>
    <s v="CMR004"/>
    <s v="Logone-Et-Chari"/>
    <s v="CMR004002"/>
    <s v="Makary"/>
    <s v="CMR004002009"/>
    <n v="14.566667000000001"/>
    <n v="12.416667"/>
  </r>
  <r>
    <x v="1"/>
    <s v="CMR004002"/>
    <s v="Makary"/>
    <s v="CMR004002009"/>
    <s v="GOSANOUGARA"/>
    <s v="CMR0040020495"/>
    <s v="Host_Family"/>
    <m/>
    <s v="Conflict_ISWA"/>
    <s v="Cameroon"/>
    <s v="CMR"/>
    <s v="Extrême-Nord"/>
    <s v="CMR004"/>
    <s v="Logone-Et-Chari"/>
    <s v="CMR004002"/>
    <s v="Makary"/>
    <s v="CMR004002009"/>
    <n v="14.566667000000001"/>
    <n v="12.366667"/>
  </r>
  <r>
    <x v="1"/>
    <s v="CMR004002"/>
    <s v="Makary"/>
    <s v="CMR004002009"/>
    <s v="KAOUSSE"/>
    <s v="CMR0040020600"/>
    <s v="Host_Family"/>
    <m/>
    <s v="Conflict_ISWA"/>
    <s v="Cameroon"/>
    <s v="CMR"/>
    <s v="Extrême-Nord"/>
    <s v="CMR004"/>
    <s v="Logone-Et-Chari"/>
    <s v="CMR004002"/>
    <s v="Makary"/>
    <s v="CMR004002009"/>
    <n v="14.385762"/>
    <n v="12.470584000000001"/>
  </r>
  <r>
    <x v="1"/>
    <s v="CMR004002"/>
    <s v="Makary"/>
    <s v="CMR004002009"/>
    <s v="KESAWA"/>
    <s v="CMR0040020627"/>
    <s v="Camp/Site"/>
    <s v="CAMP"/>
    <s v="Conflict_ISWA"/>
    <s v="Cameroon"/>
    <s v="CMR"/>
    <s v="Extrême-Nord"/>
    <s v="CMR004"/>
    <s v="Logone-Et-Chari"/>
    <s v="CMR004002"/>
    <s v="Makary"/>
    <s v="CMR004002009"/>
    <n v="14.383333"/>
    <n v="12.466666999999999"/>
  </r>
  <r>
    <x v="1"/>
    <s v="CMR004002"/>
    <s v="Makary"/>
    <s v="CMR004002009"/>
    <s v="KOKIO"/>
    <s v="CMR0040020652"/>
    <s v="Host_Family"/>
    <m/>
    <s v="Conflict_ISWA"/>
    <s v="Cameroon"/>
    <s v="CMR"/>
    <s v="Extrême-Nord"/>
    <s v="CMR004"/>
    <s v="Logone-Et-Chari"/>
    <s v="CMR004002"/>
    <s v="Makary"/>
    <s v="CMR004002009"/>
    <n v="14.466267"/>
    <n v="12.467777"/>
  </r>
  <r>
    <x v="1"/>
    <s v="CMR004002"/>
    <s v="Makary"/>
    <s v="CMR004002009"/>
    <s v="MADA"/>
    <s v="CMR0040020720"/>
    <s v="Host_Family"/>
    <m/>
    <s v="Conflict_ISWA"/>
    <s v="Cameroon"/>
    <s v="CMR"/>
    <s v="Extrême-Nord"/>
    <s v="CMR004"/>
    <s v="Logone-Et-Chari"/>
    <s v="CMR004002"/>
    <s v="Makary"/>
    <s v="CMR004002009"/>
    <n v="14.738611000000001"/>
    <n v="11.545555999999999"/>
  </r>
  <r>
    <x v="1"/>
    <s v="CMR004002"/>
    <s v="Makary"/>
    <s v="CMR004002009"/>
    <s v="MAKARY"/>
    <s v="CMR0040020771"/>
    <s v="Host_Family"/>
    <m/>
    <s v="Conflict_ISWA"/>
    <s v="Cameroon"/>
    <s v="CMR"/>
    <s v="Extrême-Nord"/>
    <s v="CMR004"/>
    <s v="Logone-Et-Chari"/>
    <s v="CMR004002"/>
    <s v="Makary"/>
    <s v="CMR004002009"/>
    <n v="14.466625000000001"/>
    <n v="12.571702999999999"/>
  </r>
  <r>
    <x v="1"/>
    <s v="CMR004002"/>
    <s v="Makary"/>
    <s v="CMR004002009"/>
    <s v="MALADI"/>
    <s v="CMR0040020775"/>
    <s v="Host_Family"/>
    <m/>
    <s v="Conflict_ISWA"/>
    <s v="Cameroon"/>
    <s v="CMR"/>
    <s v="Extrême-Nord"/>
    <s v="CMR004"/>
    <s v="Logone-Et-Chari"/>
    <s v="CMR004002"/>
    <s v="Makary"/>
    <s v="CMR004002009"/>
    <n v="14.498946999999999"/>
    <n v="12.472550999999999"/>
  </r>
  <r>
    <x v="1"/>
    <s v="CMR004002"/>
    <s v="Makary"/>
    <s v="CMR004002009"/>
    <s v="MALTAM"/>
    <s v="CMR0040020788"/>
    <s v="Host_Family"/>
    <m/>
    <s v="Conflict_ISWA"/>
    <s v="Cameroon"/>
    <s v="CMR"/>
    <s v="Extrême-Nord"/>
    <s v="CMR004"/>
    <s v="Logone-Et-Chari"/>
    <s v="CMR004002"/>
    <s v="Makary"/>
    <s v="CMR004002009"/>
    <n v="14.836428"/>
    <n v="12.173109999999999"/>
  </r>
  <r>
    <x v="1"/>
    <s v="CMR004002"/>
    <s v="Makary"/>
    <s v="CMR004002009"/>
    <s v="MANAWADJI"/>
    <s v="CMR0040020791"/>
    <s v="Host_Family"/>
    <m/>
    <s v="Conflict_ISWA"/>
    <s v="Cameroon"/>
    <s v="CMR"/>
    <s v="Extrême-Nord"/>
    <s v="CMR004"/>
    <s v="Logone-Et-Chari"/>
    <s v="CMR004002"/>
    <s v="Makary"/>
    <s v="CMR004002009"/>
    <n v="14.285812999999999"/>
    <n v="12.640774"/>
  </r>
  <r>
    <x v="1"/>
    <s v="CMR004002"/>
    <s v="Makary"/>
    <s v="CMR004002009"/>
    <s v="MBENG"/>
    <s v="CMR0040020848"/>
    <s v="Host_Family"/>
    <m/>
    <s v="Conflict_ISWA"/>
    <s v="Cameroon"/>
    <s v="CMR"/>
    <s v="Extrême-Nord"/>
    <s v="CMR004"/>
    <s v="Logone-Et-Chari"/>
    <s v="CMR004002"/>
    <s v="Makary"/>
    <s v="CMR004002009"/>
    <n v="14.534568"/>
    <n v="12.437841000000001"/>
  </r>
  <r>
    <x v="1"/>
    <s v="CMR004002"/>
    <s v="Makary"/>
    <s v="CMR004002009"/>
    <s v="NGARDOUKOUM"/>
    <s v="CMR0040020960"/>
    <s v="Host_Family"/>
    <m/>
    <s v="Conflict_ISWA"/>
    <s v="Cameroon"/>
    <s v="CMR"/>
    <s v="Extrême-Nord"/>
    <s v="CMR004"/>
    <s v="Logone-Et-Chari"/>
    <s v="CMR004002"/>
    <s v="Makary"/>
    <s v="CMR004002009"/>
    <n v="14.710153999999999"/>
    <n v="12.228198000000001"/>
  </r>
  <r>
    <x v="1"/>
    <s v="CMR004002"/>
    <s v="Makary"/>
    <s v="CMR004002009"/>
    <s v="NGOUAMA"/>
    <s v="CMR0040020967"/>
    <s v="Host_Family"/>
    <m/>
    <s v="Conflict_ISWA"/>
    <s v="Cameroon"/>
    <s v="CMR"/>
    <s v="Extrême-Nord"/>
    <s v="CMR004"/>
    <s v="Logone-Et-Chari"/>
    <s v="CMR004002"/>
    <s v="Makary"/>
    <s v="CMR004002009"/>
    <n v="15.054069"/>
    <n v="11.92666"/>
  </r>
  <r>
    <x v="1"/>
    <s v="CMR004002"/>
    <s v="Makary"/>
    <s v="CMR004002009"/>
    <s v="WOULKIOKALE"/>
    <s v="CMR0040021211"/>
    <s v="Host_Family"/>
    <m/>
    <s v="Conflict_ISWA"/>
    <s v="Cameroon"/>
    <s v="CMR"/>
    <s v="Extrême-Nord"/>
    <s v="CMR004"/>
    <s v="Logone-Et-Chari"/>
    <s v="CMR004002"/>
    <s v="Makary"/>
    <s v="CMR004002009"/>
    <n v="14.562844999999999"/>
    <n v="12.402666999999999"/>
  </r>
  <r>
    <x v="1"/>
    <s v="CMR004002"/>
    <s v="Makary"/>
    <s v="CMR004002009"/>
    <s v="ZAMAN"/>
    <s v="CMR0040021220"/>
    <s v="Host_Family"/>
    <m/>
    <s v="Conflict_ISWA"/>
    <s v="Cameroon"/>
    <s v="CMR"/>
    <s v="Extrême-Nord"/>
    <s v="CMR004"/>
    <s v="Logone-Et-Chari"/>
    <s v="CMR004002"/>
    <s v="Makary"/>
    <s v="CMR004002009"/>
    <n v="14.373906"/>
    <n v="12.537039"/>
  </r>
  <r>
    <x v="1"/>
    <s v="CMR004002"/>
    <s v="Waza"/>
    <s v="CMR004002001"/>
    <s v="ARDEBE"/>
    <s v="CMR0040020134"/>
    <s v="Host_Family"/>
    <m/>
    <s v="Conflict_ISWA"/>
    <s v="Cameroon"/>
    <s v="CMR"/>
    <s v="Extrême-Nord"/>
    <s v="CMR004"/>
    <s v="Logone-Et-Chari"/>
    <s v="CMR004002"/>
    <s v="Waza"/>
    <s v="CMR004002001"/>
    <n v="15.050891999999999"/>
    <n v="12.050858"/>
  </r>
  <r>
    <x v="1"/>
    <s v="CMR004002"/>
    <s v="Waza"/>
    <s v="CMR004002001"/>
    <s v="GOZOLNANE"/>
    <m/>
    <s v="Camp/Site"/>
    <s v="GOZOLNANE"/>
    <s v="Conflict_ISWA"/>
    <s v="Cameroon"/>
    <s v="CMR"/>
    <s v="Extrême-Nord"/>
    <s v="CMR004"/>
    <s v="Logone-Et-Chari"/>
    <s v="CMR004002"/>
    <s v="Waza"/>
    <s v="CMR004002001"/>
    <m/>
    <m/>
  </r>
  <r>
    <x v="1"/>
    <s v="CMR004002"/>
    <s v="Waza"/>
    <s v="CMR004002001"/>
    <s v="LAYONA"/>
    <m/>
    <s v="Camp/Site"/>
    <s v="LAYONA"/>
    <s v="Conflict_ISWA"/>
    <s v="Nigeria"/>
    <s v="NGA"/>
    <s v=" Borno"/>
    <s v="NGA008"/>
    <m/>
    <m/>
    <m/>
    <m/>
    <m/>
    <m/>
  </r>
  <r>
    <x v="1"/>
    <s v="CMR004002"/>
    <s v="Waza"/>
    <s v="CMR004002001"/>
    <s v="TCHAOUDE"/>
    <m/>
    <s v="Camp/Site"/>
    <s v="TCHAOUDE"/>
    <s v="Conflict_ISWA"/>
    <s v="Nigeria"/>
    <s v="NGA"/>
    <s v=" Borno"/>
    <s v="NGA008"/>
    <m/>
    <m/>
    <m/>
    <m/>
    <m/>
    <m/>
  </r>
  <r>
    <x v="1"/>
    <s v="CMR004002"/>
    <s v="Waza"/>
    <s v="CMR004002001"/>
    <s v="KABE"/>
    <s v="CMR0040020575"/>
    <s v="Camp/Site"/>
    <s v="KABE I"/>
    <s v="Conflict_ISWA"/>
    <s v="Nigeria"/>
    <s v="NGA"/>
    <s v=" Borno"/>
    <s v="NGA008"/>
    <m/>
    <m/>
    <m/>
    <m/>
    <n v="15.077214"/>
    <n v="11.998089"/>
  </r>
  <r>
    <x v="1"/>
    <s v="CMR004002"/>
    <s v="Waza"/>
    <s v="CMR004002001"/>
    <s v="KABE"/>
    <s v="CMR0040020575"/>
    <s v="Camp/Site"/>
    <s v="KABE II"/>
    <s v="Conflict_ISWA"/>
    <s v="Nigeria"/>
    <s v="NGA"/>
    <s v=" Borno"/>
    <s v="NGA008"/>
    <m/>
    <m/>
    <m/>
    <m/>
    <n v="15.077214"/>
    <n v="11.998089"/>
  </r>
  <r>
    <x v="1"/>
    <s v="CMR004002"/>
    <s v="Waza"/>
    <s v="CMR004002001"/>
    <s v="MADA"/>
    <s v="CMR0040020720"/>
    <s v="Camp/Site"/>
    <s v="MADA I"/>
    <s v="Conflict_ISWA"/>
    <s v="Nigeria"/>
    <s v="NGA"/>
    <s v=" Borno"/>
    <s v="NGA008"/>
    <m/>
    <m/>
    <m/>
    <m/>
    <n v="14.738611000000001"/>
    <n v="11.545555999999999"/>
  </r>
  <r>
    <x v="1"/>
    <s v="CMR004002"/>
    <s v="Waza"/>
    <s v="CMR004002001"/>
    <s v="MADA"/>
    <s v="CMR0040020720"/>
    <s v="Camp/Site"/>
    <s v="MADA II"/>
    <s v="Conflict_ISWA"/>
    <s v="Nigeria"/>
    <s v="NGA"/>
    <s v=" Borno"/>
    <s v="NGA008"/>
    <m/>
    <m/>
    <m/>
    <m/>
    <n v="14.738611000000001"/>
    <n v="11.545555999999999"/>
  </r>
  <r>
    <x v="1"/>
    <s v="CMR004002"/>
    <s v="Waza"/>
    <s v="CMR004002001"/>
    <s v="SAHLE"/>
    <s v="CMR0040021092"/>
    <s v="Camp/Site"/>
    <s v="SALEH"/>
    <s v="Conflict_ISWA"/>
    <s v="Nigeria"/>
    <s v="NGA"/>
    <s v=" Borno"/>
    <s v="NGA008"/>
    <m/>
    <m/>
    <m/>
    <m/>
    <n v="14.654166999999999"/>
    <n v="11.5975"/>
  </r>
  <r>
    <x v="1"/>
    <s v="CMR004002"/>
    <s v="Waza"/>
    <s v="CMR004002001"/>
    <s v="TAGAWA"/>
    <s v="CMR0040021147"/>
    <s v="Camp/Site"/>
    <s v="TAGAWA I"/>
    <s v="Conflict_ISWA"/>
    <s v="Cameroon"/>
    <s v="CMR"/>
    <s v="Extrême-Nord"/>
    <s v="CMR004"/>
    <s v="Logone-Et-Chari"/>
    <s v="CMR004002"/>
    <s v="Waza"/>
    <s v="CMR004002001"/>
    <n v="14.443462999999999"/>
    <n v="11.318056"/>
  </r>
  <r>
    <x v="1"/>
    <s v="CMR004002"/>
    <s v="Waza"/>
    <s v="CMR004002001"/>
    <s v="TAGAWA"/>
    <s v="CMR0040021147"/>
    <s v="Camp/Site"/>
    <s v="TAGAWA II"/>
    <s v="Conflict_ISWA"/>
    <s v="Cameroon"/>
    <s v="CMR"/>
    <s v="Extrême-Nord"/>
    <s v="CMR004"/>
    <s v="Logone-Et-Chari"/>
    <s v="CMR004002"/>
    <s v="Waza"/>
    <s v="CMR004002001"/>
    <n v="14.443462999999999"/>
    <n v="11.318056"/>
  </r>
  <r>
    <x v="1"/>
    <s v="CMR004002"/>
    <s v="Waza"/>
    <s v="CMR004002001"/>
    <s v="TAGAWA"/>
    <s v="CMR0040021147"/>
    <s v="Camp/Site"/>
    <s v="TAGAWA III"/>
    <s v="Conflict_ISWA"/>
    <s v="Cameroon"/>
    <s v="CMR"/>
    <s v="Extrême-Nord"/>
    <s v="CMR004"/>
    <s v="Logone-Et-Chari"/>
    <s v="CMR004002"/>
    <s v="Waza"/>
    <s v="CMR004002001"/>
    <n v="14.443462999999999"/>
    <n v="11.318056"/>
  </r>
  <r>
    <x v="1"/>
    <s v="CMR004002"/>
    <s v="Waza"/>
    <s v="CMR004002001"/>
    <s v="TAGAWA"/>
    <s v="CMR0040021147"/>
    <s v="Camp/Site"/>
    <s v="TAGAWA IV"/>
    <s v="Conflict_ISWA"/>
    <s v="Cameroon"/>
    <s v="CMR"/>
    <s v="Extrême-Nord"/>
    <s v="CMR004"/>
    <s v="Logone-Et-Chari"/>
    <s v="CMR004002"/>
    <s v="Waza"/>
    <s v="CMR004002001"/>
    <n v="14.443462999999999"/>
    <n v="11.318056"/>
  </r>
  <r>
    <x v="1"/>
    <s v="CMR004002"/>
    <s v="Waza"/>
    <s v="CMR004002001"/>
    <s v="WAZA"/>
    <s v="CMR0040021205"/>
    <s v="Host_Family"/>
    <m/>
    <s v="Conflict_ISWA"/>
    <s v="Cameroon"/>
    <s v="CMR"/>
    <s v="Extrême-Nord"/>
    <s v="CMR004"/>
    <s v="Logone-Et-Chari"/>
    <s v="CMR004002"/>
    <s v="Waza"/>
    <s v="CMR004002001"/>
    <n v="14.570667"/>
    <n v="11.398794000000001"/>
  </r>
  <r>
    <x v="1"/>
    <s v="CMR004002"/>
    <s v="Waza"/>
    <s v="CMR004002001"/>
    <s v="ZIGUAGUE"/>
    <s v="CMR0040021229"/>
    <s v="Camp/Site"/>
    <s v="ZIGAGUE"/>
    <s v="Conflict_ISWA"/>
    <s v="Nigeria"/>
    <s v="NGA"/>
    <s v=" Borno"/>
    <s v="NGA008"/>
    <m/>
    <m/>
    <m/>
    <m/>
    <n v="14.649703000000001"/>
    <n v="11.679404999999999"/>
  </r>
  <r>
    <x v="1"/>
    <s v="CMR004002"/>
    <s v="Zina"/>
    <s v="CMR004002005"/>
    <s v="ARAINABA"/>
    <m/>
    <s v="Host_Family"/>
    <m/>
    <s v="Floods_Natural_Disasters"/>
    <s v="Cameroon"/>
    <s v="CMR"/>
    <s v="Extrême-Nord"/>
    <s v="CMR004"/>
    <s v="Mayo-Danay"/>
    <s v="CMR004003"/>
    <s v="Maga"/>
    <s v="CMR004003002"/>
    <m/>
    <m/>
  </r>
  <r>
    <x v="1"/>
    <s v="CMR004002"/>
    <s v="Zina"/>
    <s v="CMR004002005"/>
    <s v="GALA"/>
    <m/>
    <s v="Host_Family"/>
    <m/>
    <s v="Floods_Natural_Disasters"/>
    <s v="Cameroon"/>
    <s v="CMR"/>
    <s v="Extrême-Nord"/>
    <s v="CMR004"/>
    <s v="Mayo-Danay"/>
    <s v="CMR004003"/>
    <s v="Maga"/>
    <s v="CMR004003002"/>
    <m/>
    <m/>
  </r>
  <r>
    <x v="1"/>
    <s v="CMR004002"/>
    <s v="Zina"/>
    <s v="CMR004002005"/>
    <s v="MALIFOU"/>
    <m/>
    <s v="Host_Family"/>
    <m/>
    <s v="Floods_Natural_Disasters"/>
    <s v="Cameroon"/>
    <s v="CMR"/>
    <s v="Extrême-Nord"/>
    <s v="CMR004"/>
    <s v="Logone-Et-Chari"/>
    <s v="CMR004002"/>
    <s v="Zina"/>
    <s v="CMR004002005"/>
    <m/>
    <m/>
  </r>
  <r>
    <x v="1"/>
    <s v="CMR004002"/>
    <s v="Zina"/>
    <s v="CMR004002005"/>
    <s v="MOURGOYE"/>
    <m/>
    <s v="Host_Family"/>
    <m/>
    <s v="Floods_Natural_Disasters"/>
    <s v="Cameroon"/>
    <s v="CMR"/>
    <s v="Extrême-Nord"/>
    <s v="CMR004"/>
    <s v="Logone-Et-Chari"/>
    <s v="CMR004002"/>
    <s v="Zina"/>
    <s v="CMR004002005"/>
    <m/>
    <m/>
  </r>
  <r>
    <x v="1"/>
    <s v="CMR004002"/>
    <s v="Zina"/>
    <s v="CMR004002005"/>
    <s v="LAHAI"/>
    <s v="CMR0040020692"/>
    <s v="Host_Family"/>
    <m/>
    <s v="Floods_Natural_Disasters"/>
    <s v="Cameroon"/>
    <s v="CMR"/>
    <s v="Extrême-Nord"/>
    <s v="CMR004"/>
    <s v="Logone-Et-Chari"/>
    <s v="CMR004002"/>
    <s v="Zina"/>
    <s v="CMR004002005"/>
    <n v="15.049159"/>
    <n v="11.039602"/>
  </r>
  <r>
    <x v="1"/>
    <s v="CMR004002"/>
    <s v="Zina"/>
    <s v="CMR004002005"/>
    <s v="MAADINA"/>
    <s v="CMR0040020717"/>
    <s v="Host_Family"/>
    <m/>
    <s v="Floods_Natural_Disasters"/>
    <s v="Cameroon"/>
    <s v="CMR"/>
    <s v="Extrême-Nord"/>
    <s v="CMR004"/>
    <s v="Mayo-Danay"/>
    <s v="CMR004003"/>
    <s v="Maga"/>
    <s v="CMR004003002"/>
    <n v="14.518484000000001"/>
    <n v="12.350113"/>
  </r>
  <r>
    <x v="1"/>
    <s v="CMR004002"/>
    <s v="Zina"/>
    <s v="CMR004002005"/>
    <s v="MASKALAI"/>
    <s v="CMR0040020822"/>
    <s v="Host_Family"/>
    <m/>
    <s v="Floods_Natural_Disasters"/>
    <s v="Cameroon"/>
    <s v="CMR"/>
    <s v="Extrême-Nord"/>
    <s v="CMR004"/>
    <s v="Logone-Et-Chari"/>
    <s v="CMR004002"/>
    <s v="Zina"/>
    <s v="CMR004002005"/>
    <n v="14.948884"/>
    <n v="11.11472"/>
  </r>
  <r>
    <x v="1"/>
    <s v="CMR004002"/>
    <s v="Zina"/>
    <s v="CMR004002005"/>
    <s v="NGODENI"/>
    <s v="CMR0040020964"/>
    <s v="Host_Family"/>
    <m/>
    <s v="Floods_Natural_Disasters"/>
    <s v="Cameroon"/>
    <s v="CMR"/>
    <s v="Extrême-Nord"/>
    <s v="CMR004"/>
    <s v="Logone-Et-Chari"/>
    <s v="CMR004002"/>
    <s v="Zina"/>
    <s v="CMR004002005"/>
    <n v="15.006435"/>
    <n v="11.399074000000001"/>
  </r>
  <r>
    <x v="1"/>
    <s v="CMR004002"/>
    <s v="Zina"/>
    <s v="CMR004002005"/>
    <s v="PADMAGAI"/>
    <s v="CMR0040021044"/>
    <s v="Host_Family"/>
    <m/>
    <s v="Floods_Natural_Disasters"/>
    <s v="Cameroon"/>
    <s v="CMR"/>
    <s v="Extrême-Nord"/>
    <s v="CMR004"/>
    <s v="Mayo-Danay"/>
    <s v="CMR004003"/>
    <s v="Maga"/>
    <s v="CMR004003002"/>
    <n v="15.050468"/>
    <n v="11.054335"/>
  </r>
  <r>
    <x v="2"/>
    <s v="CMR004003"/>
    <s v="Gobo"/>
    <s v="CMR004003011"/>
    <s v="BAREKA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BIRGUI FOULDA"/>
    <m/>
    <s v="Host_Family"/>
    <m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DJELME"/>
    <m/>
    <s v="Camp/Site"/>
    <s v="EGLISE"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DOM PAYA"/>
    <m/>
    <s v="Camp/Site"/>
    <s v="EP"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GADAMBE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GUIMRI 1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GUIMRI2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KARAM 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MONGUI FOULDA"/>
    <m/>
    <s v="Host_Family"/>
    <m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MOUDMARA"/>
    <m/>
    <s v="Camp/Site"/>
    <s v="EP"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POLGE CENTRE"/>
    <m/>
    <s v="Host_Family"/>
    <m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POLGUE BEKSOU"/>
    <m/>
    <s v="Camp/Site"/>
    <s v="ECOLE"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POLGUE TCHAKALNA"/>
    <m/>
    <s v="Host_Family"/>
    <m/>
    <s v="Floods_Natural_Disasters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TCHANTOKA"/>
    <m/>
    <s v="Camp/Site"/>
    <s v="EGLISE ET ECOLE"/>
    <s v="Conflict_ISWA"/>
    <s v="Cameroon"/>
    <s v="CMR"/>
    <s v="Extrême-Nord"/>
    <s v="CMR004"/>
    <s v="Mayo-Danay"/>
    <s v="CMR004003"/>
    <s v="Gobo"/>
    <s v="CMR004003011"/>
    <m/>
    <m/>
  </r>
  <r>
    <x v="2"/>
    <s v="CMR004003"/>
    <s v="Gobo"/>
    <s v="CMR004003011"/>
    <s v="BASTEBE"/>
    <s v="CMR0040030022"/>
    <s v="Camp/Site"/>
    <s v="EP"/>
    <s v="Floods_Natural_Disasters"/>
    <s v="Cameroon"/>
    <s v="CMR"/>
    <s v="Extrême-Nord"/>
    <s v="CMR004"/>
    <s v="Mayo-Danay"/>
    <s v="CMR004003"/>
    <s v="Gobo"/>
    <s v="CMR004003011"/>
    <n v="15.563426"/>
    <n v="10.034986999999999"/>
  </r>
  <r>
    <x v="2"/>
    <s v="CMR004003"/>
    <s v="Gobo"/>
    <s v="CMR004003011"/>
    <s v="DOMAIDI"/>
    <s v="CMR0040030099"/>
    <s v="Camp/Site"/>
    <s v="EGLISE"/>
    <s v="Conflict_ISWA"/>
    <s v="Cameroon"/>
    <s v="CMR"/>
    <s v="Extrême-Nord"/>
    <s v="CMR004"/>
    <s v="Mayo-Danay"/>
    <s v="CMR004003"/>
    <s v="Gobo"/>
    <s v="CMR004003011"/>
    <n v="15.452692000000001"/>
    <n v="9.9831289999999999"/>
  </r>
  <r>
    <x v="2"/>
    <s v="CMR004003"/>
    <s v="Gobo"/>
    <s v="CMR004003011"/>
    <s v="DONGO"/>
    <s v="CMR0040030104"/>
    <s v="Camp/Site"/>
    <s v="EP"/>
    <s v="Conflict_ISWA"/>
    <s v="Cameroon"/>
    <s v="CMR"/>
    <s v="Extrême-Nord"/>
    <s v="CMR004"/>
    <s v="Mayo-Danay"/>
    <s v="CMR004003"/>
    <s v="Gobo"/>
    <s v="CMR004003011"/>
    <n v="15.459102"/>
    <n v="10.026133"/>
  </r>
  <r>
    <x v="2"/>
    <s v="CMR004003"/>
    <s v="Gobo"/>
    <s v="CMR004003011"/>
    <s v="GALAM"/>
    <s v="CMR0040030131"/>
    <s v="Host_Family"/>
    <m/>
    <s v="Conflict_ISWA"/>
    <s v="Cameroon"/>
    <s v="CMR"/>
    <s v="Extrême-Nord"/>
    <s v="CMR004"/>
    <s v="Mayo-Danay"/>
    <s v="CMR004003"/>
    <s v="Gobo"/>
    <s v="CMR004003011"/>
    <n v="15.4246"/>
    <n v="9.9625000000000004"/>
  </r>
  <r>
    <x v="2"/>
    <s v="CMR004003"/>
    <s v="Gobo"/>
    <s v="CMR004003011"/>
    <s v="GOBOGAIOUA"/>
    <s v="CMR0040030151"/>
    <s v="Host_Family"/>
    <m/>
    <s v="Conflict_ISWA"/>
    <s v="Cameroon"/>
    <s v="CMR"/>
    <s v="Extrême-Nord"/>
    <s v="CMR004"/>
    <s v="Mayo-Danay"/>
    <s v="CMR004003"/>
    <s v="Gobo"/>
    <s v="CMR004003011"/>
    <n v="15.422542999999999"/>
    <n v="9.9970090000000003"/>
  </r>
  <r>
    <x v="2"/>
    <s v="CMR004003"/>
    <s v="Gobo"/>
    <s v="CMR004003011"/>
    <s v="GOUFKE"/>
    <s v="CMR0040030166"/>
    <s v="Host_Family"/>
    <m/>
    <s v="Floods_Natural_Disasters"/>
    <s v="Cameroon"/>
    <s v="CMR"/>
    <s v="Extrême-Nord"/>
    <s v="CMR004"/>
    <s v="Mayo-Danay"/>
    <s v="CMR004003"/>
    <s v="Gobo"/>
    <s v="CMR004003011"/>
    <n v="15.428944"/>
    <n v="10.180332"/>
  </r>
  <r>
    <x v="2"/>
    <s v="CMR004003"/>
    <s v="Gobo"/>
    <s v="CMR004003011"/>
    <s v="GUIROU"/>
    <s v="CMR0040030187"/>
    <s v="Camp/Site"/>
    <s v="EGLISE"/>
    <s v="Floods_Natural_Disasters"/>
    <s v="Cameroon"/>
    <s v="CMR"/>
    <s v="Extrême-Nord"/>
    <s v="CMR004"/>
    <s v="Mayo-Danay"/>
    <s v="CMR004003"/>
    <s v="Gobo"/>
    <s v="CMR004003011"/>
    <n v="15.374499999999999"/>
    <n v="9.9917999999999996"/>
  </r>
  <r>
    <x v="2"/>
    <s v="CMR004003"/>
    <s v="Gobo"/>
    <s v="CMR004003011"/>
    <s v="KALAC"/>
    <s v="CMR0040030202"/>
    <s v="Host_Family"/>
    <m/>
    <s v="Conflict_ISWA"/>
    <s v="Cameroon"/>
    <s v="CMR"/>
    <s v="Extrême-Nord"/>
    <s v="CMR004"/>
    <s v="Mayo-Danay"/>
    <s v="CMR004003"/>
    <s v="Gobo"/>
    <s v="CMR004003011"/>
    <n v="15.502114000000001"/>
    <n v="10.087787000000001"/>
  </r>
  <r>
    <x v="2"/>
    <s v="CMR004003"/>
    <s v="Gobo"/>
    <s v="CMR004003011"/>
    <s v="KAYEGUE"/>
    <s v="CMR0040030221"/>
    <s v="Host_Family"/>
    <m/>
    <s v="Conflict_ISWA"/>
    <s v="Cameroon"/>
    <s v="CMR"/>
    <s v="Extrême-Nord"/>
    <s v="CMR004"/>
    <s v="Mayo-Danay"/>
    <s v="CMR004003"/>
    <s v="Gobo"/>
    <s v="CMR004003011"/>
    <n v="15.401916999999999"/>
    <n v="9.9849599999999992"/>
  </r>
  <r>
    <x v="2"/>
    <s v="CMR004003"/>
    <s v="Gobo"/>
    <s v="CMR004003011"/>
    <s v="NAYEGUISSIA"/>
    <s v="CMR0040030308"/>
    <s v="Host_Family"/>
    <m/>
    <s v="Floods_Natural_Disasters"/>
    <s v="Cameroon"/>
    <s v="CMR"/>
    <s v="Extrême-Nord"/>
    <s v="CMR004"/>
    <s v="Mayo-Danay"/>
    <s v="CMR004003"/>
    <s v="Gobo"/>
    <s v="CMR004003011"/>
    <n v="15.585614"/>
    <n v="10.028611"/>
  </r>
  <r>
    <x v="2"/>
    <s v="CMR004003"/>
    <s v="Gobo"/>
    <s v="CMR004003011"/>
    <s v="NOULDAYNA"/>
    <s v="CMR0040030316"/>
    <s v="Camp/Site"/>
    <s v="EGLISE"/>
    <s v="Floods_Natural_Disasters"/>
    <s v="Cameroon"/>
    <s v="CMR"/>
    <s v="Extrême-Nord"/>
    <s v="CMR004"/>
    <s v="Mayo-Danay"/>
    <s v="CMR004003"/>
    <s v="Gobo"/>
    <s v="CMR004003011"/>
    <n v="15.523925999999999"/>
    <n v="10.065308999999999"/>
  </r>
  <r>
    <x v="2"/>
    <s v="CMR004003"/>
    <s v="Gueme"/>
    <s v="CMR004003006"/>
    <s v="KARTOUA"/>
    <m/>
    <s v="Host_Family"/>
    <m/>
    <s v="Floods_Natural_Disasters"/>
    <s v="Cameroon"/>
    <s v="CMR"/>
    <s v="Extrême-Nord"/>
    <s v="CMR004"/>
    <s v="Mayo-Danay"/>
    <s v="CMR004003"/>
    <s v="Gueme"/>
    <s v="CMR004003006"/>
    <m/>
    <m/>
  </r>
  <r>
    <x v="2"/>
    <s v="CMR004003"/>
    <s v="Gueme"/>
    <s v="CMR004003006"/>
    <s v="KARTOUA"/>
    <m/>
    <s v="Host_Family"/>
    <m/>
    <s v="Conflict_ISWA"/>
    <s v="Cameroon"/>
    <s v="CMR"/>
    <s v="Extrême-Nord"/>
    <s v="CMR004"/>
    <s v="Mayo-Danay"/>
    <s v="CMR004003"/>
    <s v="Gueme"/>
    <s v="CMR004003006"/>
    <m/>
    <m/>
  </r>
  <r>
    <x v="2"/>
    <s v="CMR004003"/>
    <s v="Gueme"/>
    <s v="CMR004003006"/>
    <m/>
    <s v="CMR0040030178"/>
    <s v="Host_Family"/>
    <m/>
    <s v="Floods_Natural_Disasters"/>
    <s v="Cameroon"/>
    <s v="CMR"/>
    <s v="Extrême-Nord"/>
    <s v="CMR004"/>
    <s v="Mayo-Danay"/>
    <s v="CMR004003"/>
    <s v="Gueme"/>
    <s v="CMR004003006"/>
    <n v="15.176577"/>
    <n v="10.503887000000001"/>
  </r>
  <r>
    <x v="2"/>
    <s v="CMR004003"/>
    <s v="Gueme"/>
    <s v="CMR004003006"/>
    <s v="VELE"/>
    <s v="CMR0040030371"/>
    <s v="Host_Family"/>
    <m/>
    <s v="Floods_Natural_Disasters"/>
    <s v="Cameroon"/>
    <s v="CMR"/>
    <s v="Extrême-Nord"/>
    <s v="CMR004"/>
    <s v="Mayo-Danay"/>
    <s v="CMR004003"/>
    <s v="Gueme"/>
    <s v="CMR004003006"/>
    <n v="15.153677"/>
    <n v="10.510877000000001"/>
  </r>
  <r>
    <x v="2"/>
    <s v="CMR004003"/>
    <s v="Guere"/>
    <s v="CMR004003010"/>
    <s v="ARDAF"/>
    <s v="CMR0040030006"/>
    <s v="Host_Family"/>
    <m/>
    <s v="Floods_Natural_Disasters"/>
    <s v="Cameroon"/>
    <s v="CMR"/>
    <s v="Extrême-Nord"/>
    <s v="CMR004"/>
    <s v="Mayo-Danay"/>
    <s v="CMR004003"/>
    <s v="Guere"/>
    <s v="CMR004003010"/>
    <n v="15.271953"/>
    <n v="10.031091999999999"/>
  </r>
  <r>
    <x v="2"/>
    <s v="CMR004003"/>
    <s v="Guere"/>
    <s v="CMR004003010"/>
    <s v="BANGA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DAHAOU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DANZAY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DJOGOMTA MARCHE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HOLLOM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MAHAIBE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MAIDA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MOUKA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MOUTANG"/>
    <m/>
    <s v="Host_Family"/>
    <m/>
    <s v="Floods_Natural_Disasters"/>
    <s v="Cameroon"/>
    <s v="CMR"/>
    <s v="Extrême-Nord"/>
    <s v="CMR004"/>
    <s v="Mayo-Danay"/>
    <s v="CMR004003"/>
    <s v="Guere"/>
    <s v="CMR004003010"/>
    <m/>
    <m/>
  </r>
  <r>
    <x v="2"/>
    <s v="CMR004003"/>
    <s v="Guere"/>
    <s v="CMR004003010"/>
    <s v="BALAMATA"/>
    <s v="CMR0040030012"/>
    <s v="Host_Family"/>
    <m/>
    <s v="Floods_Natural_Disasters"/>
    <s v="Cameroon"/>
    <s v="CMR"/>
    <s v="Extrême-Nord"/>
    <s v="CMR004"/>
    <s v="Mayo-Danay"/>
    <s v="CMR004003"/>
    <s v="Guere"/>
    <s v="CMR004003010"/>
    <n v="15.320695000000001"/>
    <n v="10.229350999999999"/>
  </r>
  <r>
    <x v="2"/>
    <s v="CMR004003"/>
    <s v="Guere"/>
    <s v="CMR004003010"/>
    <s v="BARDOUKI"/>
    <s v="CMR0040030017"/>
    <s v="Host_Family"/>
    <m/>
    <s v="Floods_Natural_Disasters"/>
    <s v="Cameroon"/>
    <s v="CMR"/>
    <s v="Extrême-Nord"/>
    <s v="CMR004"/>
    <s v="Mayo-Danay"/>
    <s v="CMR004003"/>
    <s v="Guere"/>
    <s v="CMR004003010"/>
    <n v="15.296367"/>
    <n v="10.01449"/>
  </r>
  <r>
    <x v="2"/>
    <s v="CMR004003"/>
    <s v="Guere"/>
    <s v="CMR004003010"/>
    <s v="DANGABISSI"/>
    <s v="CMR0040030059"/>
    <s v="Host_Family"/>
    <m/>
    <s v="Floods_Natural_Disasters"/>
    <s v="Cameroon"/>
    <s v="CMR"/>
    <s v="Extrême-Nord"/>
    <s v="CMR004"/>
    <s v="Mayo-Danay"/>
    <s v="CMR004003"/>
    <s v="Guere"/>
    <s v="CMR004003010"/>
    <n v="15.314185"/>
    <n v="10.166567000000001"/>
  </r>
  <r>
    <x v="2"/>
    <s v="CMR004003"/>
    <s v="Guere"/>
    <s v="CMR004003010"/>
    <s v="DJOUGOUMTA"/>
    <s v="CMR0040030094"/>
    <s v="Host_Family"/>
    <m/>
    <s v="Floods_Natural_Disasters"/>
    <s v="Cameroon"/>
    <s v="CMR"/>
    <s v="Extrême-Nord"/>
    <s v="CMR004"/>
    <s v="Mayo-Danay"/>
    <s v="CMR004003"/>
    <s v="Guere"/>
    <s v="CMR004003010"/>
    <n v="15.268568"/>
    <n v="10.096378"/>
  </r>
  <r>
    <x v="2"/>
    <s v="CMR004003"/>
    <s v="Guere"/>
    <s v="CMR004003010"/>
    <s v="GUIBI"/>
    <s v="CMR0040030182"/>
    <s v="Host_Family"/>
    <m/>
    <s v="Floods_Natural_Disasters"/>
    <s v="Cameroon"/>
    <s v="CMR"/>
    <s v="Extrême-Nord"/>
    <s v="CMR004"/>
    <s v="Mayo-Danay"/>
    <s v="CMR004003"/>
    <s v="Guere"/>
    <s v="CMR004003010"/>
    <n v="15.244235"/>
    <n v="10.025418"/>
  </r>
  <r>
    <x v="2"/>
    <s v="CMR004003"/>
    <s v="Kai-Kai"/>
    <s v="CMR004003001"/>
    <s v="KAIKAI"/>
    <m/>
    <s v="Camp/Site"/>
    <s v="ECOLE"/>
    <s v="Floods_Natural_Disasters"/>
    <s v="Cameroon"/>
    <s v="CMR"/>
    <s v="Extrême-Nord"/>
    <s v="CMR004"/>
    <s v="Mayo-Danay"/>
    <s v="CMR004003"/>
    <s v="Kai-Kai"/>
    <s v="CMR004003001"/>
    <m/>
    <m/>
  </r>
  <r>
    <x v="2"/>
    <s v="CMR004003"/>
    <s v="Kai-Kai"/>
    <s v="CMR004003001"/>
    <s v="BARIAGODIO"/>
    <s v="CMR0040030018"/>
    <s v="Host_Family"/>
    <m/>
    <s v="Floods_Natural_Disasters"/>
    <s v="Cameroon"/>
    <s v="CMR"/>
    <s v="Extrême-Nord"/>
    <s v="CMR004"/>
    <s v="Mayo-Danay"/>
    <s v="CMR004003"/>
    <s v="Kai-Kai"/>
    <s v="CMR004003001"/>
    <n v="15.018864000000001"/>
    <n v="10.713013999999999"/>
  </r>
  <r>
    <x v="2"/>
    <s v="CMR004003"/>
    <s v="Kai-Kai"/>
    <s v="CMR004003001"/>
    <s v="BARKAYA"/>
    <s v="CMR0040030021"/>
    <s v="Host_Family"/>
    <m/>
    <s v="Floods_Natural_Disasters"/>
    <s v="Cameroon"/>
    <s v="CMR"/>
    <s v="Extrême-Nord"/>
    <s v="CMR004"/>
    <s v="Mayo-Danay"/>
    <s v="CMR004003"/>
    <s v="Kai-Kai"/>
    <s v="CMR004003001"/>
    <n v="14.977012"/>
    <n v="10.628166"/>
  </r>
  <r>
    <x v="2"/>
    <s v="CMR004003"/>
    <s v="Kai-Kai"/>
    <s v="CMR004003001"/>
    <s v="BEGUEPALAM"/>
    <s v="CMR0040030025"/>
    <s v="Host_Family"/>
    <m/>
    <s v="Floods_Natural_Disasters"/>
    <s v="Cameroon"/>
    <s v="CMR"/>
    <s v="Extrême-Nord"/>
    <s v="CMR004"/>
    <s v="Mayo-Danay"/>
    <s v="CMR004003"/>
    <s v="Kai-Kai"/>
    <s v="CMR004003001"/>
    <n v="15.129740999999999"/>
    <n v="10.688852000000001"/>
  </r>
  <r>
    <x v="2"/>
    <s v="CMR004003"/>
    <s v="Kai-Kai"/>
    <s v="CMR004003001"/>
    <s v="DOUGUI"/>
    <s v="CMR0040030112"/>
    <s v="Host_Family"/>
    <m/>
    <s v="Floods_Natural_Disasters"/>
    <s v="Cameroon"/>
    <s v="CMR"/>
    <s v="Extrême-Nord"/>
    <s v="CMR004"/>
    <s v="Mayo-Danay"/>
    <s v="CMR004003"/>
    <s v="Kai-Kai"/>
    <s v="CMR004003001"/>
    <n v="15.097039000000001"/>
    <n v="10.727777"/>
  </r>
  <r>
    <x v="2"/>
    <s v="CMR004003"/>
    <s v="Kai-Kai"/>
    <s v="CMR004003001"/>
    <s v="KALAC"/>
    <s v="CMR0040030202"/>
    <s v="Host_Family"/>
    <m/>
    <s v="Floods_Natural_Disasters"/>
    <s v="Cameroon"/>
    <s v="CMR"/>
    <s v="Extrême-Nord"/>
    <s v="CMR004"/>
    <s v="Mayo-Danay"/>
    <s v="CMR004003"/>
    <s v="Kai-Kai"/>
    <s v="CMR004003001"/>
    <n v="15.502114000000001"/>
    <n v="10.087787000000001"/>
  </r>
  <r>
    <x v="2"/>
    <s v="CMR004003"/>
    <s v="Kai-Kai"/>
    <s v="CMR004003001"/>
    <s v="LOUGOYE"/>
    <s v="CMR0040030250"/>
    <s v="Host_Family"/>
    <m/>
    <s v="Floods_Natural_Disasters"/>
    <s v="Cameroon"/>
    <s v="CMR"/>
    <s v="Extrême-Nord"/>
    <s v="CMR004"/>
    <s v="Mayo-Danay"/>
    <s v="CMR004003"/>
    <s v="Kai-Kai"/>
    <s v="CMR004003001"/>
    <n v="14.980122"/>
    <n v="10.670558"/>
  </r>
  <r>
    <x v="2"/>
    <s v="CMR004003"/>
    <s v="Maga"/>
    <s v="CMR004003002"/>
    <s v="GUIRVIDIG BOKO"/>
    <m/>
    <s v="Host_Family"/>
    <m/>
    <s v="Conflict_ISWA"/>
    <s v="Cameroon"/>
    <s v="CMR"/>
    <s v="Extrême-Nord"/>
    <s v="CMR004"/>
    <s v="Mayo-Danay"/>
    <s v="CMR004003"/>
    <s v="Maga"/>
    <s v="CMR004003002"/>
    <m/>
    <m/>
  </r>
  <r>
    <x v="2"/>
    <s v="CMR004003"/>
    <s v="Maga"/>
    <s v="CMR004003002"/>
    <s v="GUIRVIDIG"/>
    <s v="CMR0040030188"/>
    <s v="Host_Family"/>
    <m/>
    <s v="Conflict_ISWA"/>
    <s v="Cameroon"/>
    <s v="CMR"/>
    <s v="Extrême-Nord"/>
    <s v="CMR004"/>
    <s v="Mayo-Danay"/>
    <s v="CMR004003"/>
    <s v="Maga"/>
    <s v="CMR004003002"/>
    <n v="14.834413"/>
    <n v="10.880466999999999"/>
  </r>
  <r>
    <x v="2"/>
    <s v="CMR004003"/>
    <s v="Maga"/>
    <s v="CMR004003002"/>
    <s v="GUIRVIDIG"/>
    <s v="CMR0040030188"/>
    <s v="Camp/Site"/>
    <s v="MAOUROU"/>
    <s v="Floods_Natural_Disasters"/>
    <s v="Cameroon"/>
    <s v="CMR"/>
    <s v="Extrême-Nord"/>
    <s v="CMR004"/>
    <s v="Mayo-Danay"/>
    <s v="CMR004003"/>
    <s v="Maga"/>
    <s v="CMR004003002"/>
    <n v="14.834413"/>
    <n v="10.880466999999999"/>
  </r>
  <r>
    <x v="2"/>
    <s v="CMR004003"/>
    <s v="Maga"/>
    <s v="CMR004003002"/>
    <s v="GUIRVIDIG"/>
    <s v="CMR0040030188"/>
    <s v="Camp/Site"/>
    <s v="GAGRAY"/>
    <s v="Floods_Natural_Disasters"/>
    <s v="Cameroon"/>
    <s v="CMR"/>
    <s v="Extrême-Nord"/>
    <s v="CMR004"/>
    <s v="Mayo-Danay"/>
    <s v="CMR004003"/>
    <s v="Maga"/>
    <s v="CMR004003002"/>
    <n v="14.834413"/>
    <n v="10.880466999999999"/>
  </r>
  <r>
    <x v="2"/>
    <s v="CMR004003"/>
    <s v="Maga"/>
    <s v="CMR004003002"/>
    <s v="GUIRVIDIG"/>
    <s v="CMR0040030188"/>
    <s v="Camp/Site"/>
    <s v="FARAHOULOU"/>
    <s v="Floods_Natural_Disasters"/>
    <s v="Cameroon"/>
    <s v="CMR"/>
    <s v="Extrême-Nord"/>
    <s v="CMR004"/>
    <s v="Mayo-Danay"/>
    <s v="CMR004003"/>
    <s v="Maga"/>
    <s v="CMR004003002"/>
    <n v="14.834413"/>
    <n v="10.880466999999999"/>
  </r>
  <r>
    <x v="2"/>
    <s v="CMR004003"/>
    <s v="Maga"/>
    <s v="CMR004003002"/>
    <s v="GUIRVIDIG"/>
    <s v="CMR0040030188"/>
    <s v="Host_Family"/>
    <m/>
    <s v="Conflict_ISWA"/>
    <s v="Nigeria"/>
    <s v="NGA"/>
    <s v=" Borno"/>
    <s v="NGA008"/>
    <s v="Mayo-Danay"/>
    <s v="CMR004003"/>
    <s v="Maga"/>
    <s v="CMR004003002"/>
    <n v="14.834413"/>
    <n v="10.880466999999999"/>
  </r>
  <r>
    <x v="2"/>
    <s v="CMR004003"/>
    <s v="Maga"/>
    <s v="CMR004003002"/>
    <s v="POUS"/>
    <s v="CMR0040030329"/>
    <s v="Camp/Site"/>
    <s v="GAYA"/>
    <s v="Floods_Natural_Disasters"/>
    <s v="Cameroon"/>
    <s v="CMR"/>
    <s v="Extrême-Nord"/>
    <s v="CMR004"/>
    <s v="Mayo-Danay"/>
    <s v="CMR004003"/>
    <s v="Maga"/>
    <s v="CMR004003002"/>
    <n v="15.055573000000001"/>
    <n v="10.847198000000001"/>
  </r>
  <r>
    <x v="2"/>
    <s v="CMR004003"/>
    <s v="Maga"/>
    <s v="CMR004003002"/>
    <s v="POUS"/>
    <s v="CMR0040030329"/>
    <s v="Camp/Site"/>
    <s v="SIMATO"/>
    <s v="Floods_Natural_Disasters"/>
    <s v="Cameroon"/>
    <s v="CMR"/>
    <s v="Extrême-Nord"/>
    <s v="CMR004"/>
    <s v="Mayo-Danay"/>
    <s v="CMR004003"/>
    <s v="Maga"/>
    <s v="CMR004003002"/>
    <n v="15.055573000000001"/>
    <n v="10.847198000000001"/>
  </r>
  <r>
    <x v="2"/>
    <s v="CMR004003"/>
    <s v="Maga"/>
    <s v="CMR004003002"/>
    <s v="POUS"/>
    <s v="CMR0040030329"/>
    <s v="Camp/Site"/>
    <s v="VARAY GOURON"/>
    <s v="Floods_Natural_Disasters"/>
    <s v="Cameroon"/>
    <s v="CMR"/>
    <s v="Extrême-Nord"/>
    <s v="CMR004"/>
    <s v="Mayo-Danay"/>
    <s v="CMR004003"/>
    <s v="Maga"/>
    <s v="CMR004003002"/>
    <n v="15.055573000000001"/>
    <n v="10.847198000000001"/>
  </r>
  <r>
    <x v="2"/>
    <s v="CMR004003"/>
    <s v="Maga"/>
    <s v="CMR004003002"/>
    <s v="POUS"/>
    <s v="CMR0040030329"/>
    <s v="Host_Family"/>
    <m/>
    <s v="Conflict_ISWA"/>
    <s v="Cameroon"/>
    <s v="CMR"/>
    <s v="Extrême-Nord"/>
    <s v="CMR004"/>
    <s v="Mayo-Danay"/>
    <s v="CMR004003"/>
    <s v="Maga"/>
    <s v="CMR004003002"/>
    <n v="15.055573000000001"/>
    <n v="10.847198000000001"/>
  </r>
  <r>
    <x v="2"/>
    <s v="CMR004003"/>
    <s v="Yagoua"/>
    <s v="CMR004003009"/>
    <s v="YAGOUA"/>
    <s v="CMR0040030380"/>
    <s v="Camp/Site"/>
    <s v="DANA CFJA"/>
    <s v="Floods_Natural_Disasters"/>
    <s v="Cameroon"/>
    <s v="CMR"/>
    <s v="Extrême-Nord"/>
    <s v="CMR004"/>
    <s v="Mayo-Danay"/>
    <s v="CMR004003"/>
    <s v="Yagoua"/>
    <s v="CMR004003009"/>
    <n v="15.232877"/>
    <n v="10.341068"/>
  </r>
  <r>
    <x v="2"/>
    <s v="CMR004003"/>
    <s v="Yagoua"/>
    <s v="CMR004003009"/>
    <s v="YAGOUA"/>
    <s v="CMR0040030380"/>
    <s v="Camp/Site"/>
    <s v="OURO DABAN"/>
    <s v="Floods_Natural_Disasters"/>
    <s v="Cameroon"/>
    <s v="CMR"/>
    <s v="Extrême-Nord"/>
    <s v="CMR004"/>
    <s v="Mayo-Danay"/>
    <s v="CMR004003"/>
    <s v="Yagoua"/>
    <s v="CMR004003009"/>
    <n v="15.232877"/>
    <n v="10.341068"/>
  </r>
  <r>
    <x v="2"/>
    <s v="CMR004003"/>
    <s v="Yagoua"/>
    <s v="CMR004003009"/>
    <s v="YAGOUA"/>
    <s v="CMR0040030380"/>
    <s v="Host_Family"/>
    <m/>
    <s v="Conflict_ISWA"/>
    <s v="Cameroon"/>
    <s v="CMR"/>
    <s v="Extrême-Nord"/>
    <s v="CMR004"/>
    <s v="Mayo-Danay"/>
    <s v="CMR004003"/>
    <s v="Yagoua"/>
    <s v="CMR004003009"/>
    <n v="15.232877"/>
    <n v="10.341068"/>
  </r>
  <r>
    <x v="2"/>
    <s v="CMR004003"/>
    <s v="Yagoua"/>
    <s v="CMR004003009"/>
    <s v="YAGOUA"/>
    <s v="CMR0040030380"/>
    <s v="Host_Family"/>
    <m/>
    <s v="Other"/>
    <s v="Chad"/>
    <s v="TCD"/>
    <s v="Mayo Kebbi Est"/>
    <s v="TCD011"/>
    <m/>
    <m/>
    <m/>
    <m/>
    <n v="15.232877"/>
    <n v="10.341068"/>
  </r>
  <r>
    <x v="3"/>
    <s v="CMR004004"/>
    <s v="Guidiguis"/>
    <s v="CMR004004001"/>
    <s v="HARDE"/>
    <m/>
    <s v="Host_Family"/>
    <m/>
    <s v="Conflict_ISWA"/>
    <s v="Cameroon"/>
    <s v="CMR"/>
    <s v="Extrême-Nord"/>
    <s v="CMR004"/>
    <s v="Mayo-Kani"/>
    <s v="CMR004004"/>
    <s v="Guidiguis"/>
    <s v="CMR004004001"/>
    <m/>
    <m/>
  </r>
  <r>
    <x v="3"/>
    <s v="CMR004004"/>
    <s v="Guidiguis"/>
    <s v="CMR004004001"/>
    <s v="LARAWO"/>
    <m/>
    <s v="Host_Family"/>
    <m/>
    <s v="Conflict_ISWA"/>
    <s v="Cameroon"/>
    <s v="CMR"/>
    <s v="Extrême-Nord"/>
    <s v="CMR004"/>
    <s v="Mayo-Kani"/>
    <s v="CMR004004"/>
    <s v="Guidiguis"/>
    <s v="CMR004004001"/>
    <m/>
    <m/>
  </r>
  <r>
    <x v="3"/>
    <s v="CMR004004"/>
    <s v="Guidiguis"/>
    <s v="CMR004004001"/>
    <s v="BITCHARE"/>
    <s v="CMR0040040032"/>
    <s v="Host_Family"/>
    <m/>
    <s v="Conflict_ISWA"/>
    <s v="Cameroon"/>
    <s v="CMR"/>
    <s v="Extrême-Nord"/>
    <s v="CMR004"/>
    <s v="Mayo-Kani"/>
    <s v="CMR004004"/>
    <s v="Guidiguis"/>
    <s v="CMR004004001"/>
    <n v="14.77684"/>
    <n v="10.134456"/>
  </r>
  <r>
    <x v="3"/>
    <s v="CMR004004"/>
    <s v="Kaele"/>
    <s v="CMR004004006"/>
    <s v="BOBOYO"/>
    <s v="CMR0040040034"/>
    <s v="Host_Family"/>
    <m/>
    <s v="Conflict_ISWA"/>
    <s v="Cameroon"/>
    <s v="CMR"/>
    <s v="Extrême-Nord"/>
    <s v="CMR004"/>
    <s v="Mayo-Sava"/>
    <s v="CMR004005"/>
    <s v="Kolofata"/>
    <s v="CMR004005001"/>
    <n v="14.404536999999999"/>
    <n v="10.152639000000001"/>
  </r>
  <r>
    <x v="3"/>
    <s v="CMR004004"/>
    <s v="Kaele"/>
    <s v="CMR004004006"/>
    <s v="KAELE"/>
    <s v="CMR0040040183"/>
    <s v="Host_Family"/>
    <m/>
    <s v="Conflict_ISWA"/>
    <s v="Cameroon"/>
    <s v="CMR"/>
    <s v="Extrême-Nord"/>
    <s v="CMR004"/>
    <s v="Mayo-Sava"/>
    <s v="CMR004005"/>
    <s v="Kolofata"/>
    <s v="CMR004005001"/>
    <n v="14.44651"/>
    <n v="10.106719"/>
  </r>
  <r>
    <x v="3"/>
    <s v="CMR004004"/>
    <s v="Kaele"/>
    <s v="CMR004004006"/>
    <s v="MIDJIVIN"/>
    <s v="CMR0040040277"/>
    <s v="Host_Family"/>
    <m/>
    <s v="Conflict_ISWA"/>
    <s v="Cameroon"/>
    <s v="CMR"/>
    <s v="Extrême-Nord"/>
    <s v="CMR004"/>
    <s v="Mayo-Sava"/>
    <s v="CMR004005"/>
    <s v="Kolofata"/>
    <s v="CMR004005001"/>
    <n v="14.3354"/>
    <n v="10.169002000000001"/>
  </r>
  <r>
    <x v="3"/>
    <s v="CMR004004"/>
    <s v="Mindif"/>
    <s v="CMR004004007"/>
    <s v="MOGOM"/>
    <m/>
    <s v="Host_Family"/>
    <m/>
    <s v="Floods_Natural_Disasters"/>
    <s v="Cameroon"/>
    <s v="CMR"/>
    <s v="Extrême-Nord"/>
    <s v="CMR004"/>
    <s v="Mayo-Danay"/>
    <s v="CMR004003"/>
    <s v="Maga"/>
    <s v="CMR004003002"/>
    <m/>
    <m/>
  </r>
  <r>
    <x v="3"/>
    <s v="CMR004004"/>
    <s v="Mindif"/>
    <s v="CMR004004007"/>
    <s v="OURO-DOLE"/>
    <m/>
    <s v="Host_Family"/>
    <m/>
    <s v="Floods_Natural_Disasters"/>
    <s v="Cameroon"/>
    <s v="CMR"/>
    <s v="Extrême-Nord"/>
    <s v="CMR004"/>
    <s v="Mayo-Sava"/>
    <s v="CMR004005"/>
    <s v="Kolofata"/>
    <s v="CMR004005001"/>
    <m/>
    <m/>
  </r>
  <r>
    <x v="3"/>
    <s v="CMR004004"/>
    <s v="Mindif"/>
    <s v="CMR004004007"/>
    <s v="SAMA"/>
    <m/>
    <s v="Host_Family"/>
    <m/>
    <s v="Floods_Natural_Disasters"/>
    <s v="Cameroon"/>
    <s v="CMR"/>
    <s v="Extrême-Nord"/>
    <s v="CMR004"/>
    <s v="Mayo-Danay"/>
    <s v="CMR004003"/>
    <s v="Maga"/>
    <s v="CMR004003002"/>
    <m/>
    <m/>
  </r>
  <r>
    <x v="3"/>
    <s v="CMR004004"/>
    <s v="Mindif"/>
    <s v="CMR004004007"/>
    <s v="GAVIANG"/>
    <s v="CMR0040040128"/>
    <s v="Host_Family"/>
    <m/>
    <s v="Floods_Natural_Disasters"/>
    <s v="Cameroon"/>
    <s v="CMR"/>
    <s v="Extrême-Nord"/>
    <s v="CMR004"/>
    <s v="Mayo-Sava"/>
    <s v="CMR004005"/>
    <s v="Kolofata"/>
    <s v="CMR004005001"/>
    <n v="14.288618"/>
    <n v="10.375491"/>
  </r>
  <r>
    <x v="3"/>
    <s v="CMR004004"/>
    <s v="Moulvoudaye"/>
    <s v="CMR004004002"/>
    <s v="KATARE"/>
    <s v="CMR0040040193"/>
    <s v="Host_Family"/>
    <m/>
    <s v="Conflict_ISWA"/>
    <s v="Nigeria"/>
    <s v="NGA"/>
    <s v=" Borno"/>
    <s v="NGA008"/>
    <m/>
    <m/>
    <m/>
    <m/>
    <n v="14.795081"/>
    <n v="10.428337000000001"/>
  </r>
  <r>
    <x v="3"/>
    <s v="CMR004004"/>
    <s v="Moulvoudaye"/>
    <s v="CMR004004002"/>
    <s v="KOFARE"/>
    <s v="CMR0040040207"/>
    <s v="Host_Family"/>
    <m/>
    <s v="Conflict_ISWA"/>
    <s v="Nigeria"/>
    <s v="NGA"/>
    <s v=" Borno"/>
    <s v="NGA008"/>
    <m/>
    <m/>
    <m/>
    <m/>
    <n v="14.901629"/>
    <n v="10.40634"/>
  </r>
  <r>
    <x v="3"/>
    <s v="CMR004004"/>
    <s v="Moulvoudaye"/>
    <s v="CMR004004002"/>
    <s v="MOULVOUDAI"/>
    <s v="CMR0040040299"/>
    <s v="Host_Family"/>
    <m/>
    <s v="Conflict_ISWA"/>
    <s v="Nigeria"/>
    <s v="NGA"/>
    <s v=" Borno"/>
    <s v="NGA008"/>
    <m/>
    <m/>
    <m/>
    <m/>
    <n v="14.853854"/>
    <n v="10.405882"/>
  </r>
  <r>
    <x v="3"/>
    <s v="CMR004004"/>
    <s v="Moutourwa"/>
    <s v="CMR004004005"/>
    <s v="MAWAKOTOKOM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3"/>
    <s v="CMR004004"/>
    <s v="Moutourwa"/>
    <s v="CMR004004005"/>
    <s v="SALAVAD"/>
    <m/>
    <s v="Host_Family"/>
    <m/>
    <s v="Conflict_ISWA"/>
    <s v="Cameroon"/>
    <s v="CMR"/>
    <s v="Extrême-Nord"/>
    <s v="CMR004"/>
    <s v="Mayo-Sava"/>
    <s v="CMR004005"/>
    <s v="Kerawa"/>
    <m/>
    <m/>
    <m/>
  </r>
  <r>
    <x v="3"/>
    <s v="CMR004004"/>
    <s v="Moutourwa"/>
    <s v="CMR004004005"/>
    <s v="TWONGO-BAJAVA"/>
    <m/>
    <s v="Host_Family"/>
    <m/>
    <s v="Conflict_ISWA"/>
    <s v="Nigeria"/>
    <s v="NGA"/>
    <s v=" Borno"/>
    <s v="NGA008"/>
    <m/>
    <m/>
    <m/>
    <m/>
    <m/>
    <m/>
  </r>
  <r>
    <x v="3"/>
    <s v="CMR004004"/>
    <s v="Moutourwa"/>
    <s v="CMR004004005"/>
    <s v="MOUTOUROUA"/>
    <s v="CMR0040040305"/>
    <s v="Host_Family"/>
    <m/>
    <s v="Conflict_ISWA"/>
    <s v="Cameroon"/>
    <s v="CMR"/>
    <s v="Extrême-Nord"/>
    <s v="CMR004"/>
    <s v="Mayo-Tsanaga"/>
    <s v="CMR004006"/>
    <s v="nguetchewe"/>
    <m/>
    <n v="14.177768"/>
    <n v="10.198961000000001"/>
  </r>
  <r>
    <x v="3"/>
    <s v="CMR004004"/>
    <s v="Moutourwa"/>
    <s v="CMR004004005"/>
    <s v="NOUBOU"/>
    <s v="CMR0040040316"/>
    <s v="Host_Family"/>
    <m/>
    <s v="Conflict_ISWA"/>
    <s v="Cameroon"/>
    <s v="CMR"/>
    <s v="Extrême-Nord"/>
    <s v="CMR004"/>
    <s v="Mayo-Sava"/>
    <s v="CMR004005"/>
    <s v="Kolofata"/>
    <s v="CMR004005001"/>
    <n v="14.118786"/>
    <n v="10.324728"/>
  </r>
  <r>
    <x v="4"/>
    <s v="CMR004005"/>
    <s v="Kolofata"/>
    <s v="CMR004005001"/>
    <s v="ALAGARNO"/>
    <s v="CMR0040020060"/>
    <s v="Host_Family"/>
    <m/>
    <s v="Conflict_ISWA"/>
    <s v="Cameroon"/>
    <s v="CMR"/>
    <s v="Extrême-Nord"/>
    <s v="CMR004"/>
    <s v="Mayo-Sava"/>
    <s v="CMR004005"/>
    <s v="Kolofata"/>
    <s v="CMR004005001"/>
    <n v="14.702196000000001"/>
    <n v="11.013609000000001"/>
  </r>
  <r>
    <x v="4"/>
    <s v="CMR004005"/>
    <s v="Kolofata"/>
    <s v="CMR004005001"/>
    <s v="CHERIVE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MAINAM KWO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MELERI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NDAB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NDJAMENA KERAW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TAMBALAM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Kolofata"/>
    <s v="CMR004005001"/>
    <s v="BAME"/>
    <s v="CMR0040050022"/>
    <s v="Host_Family"/>
    <m/>
    <s v="Conflict_ISWA"/>
    <s v="Cameroon"/>
    <s v="CMR"/>
    <s v="Extrême-Nord"/>
    <s v="CMR004"/>
    <s v="Mayo-Sava"/>
    <s v="CMR004005"/>
    <s v="Kolofata"/>
    <s v="CMR004005001"/>
    <n v="13.986330000000001"/>
    <n v="11.154783"/>
  </r>
  <r>
    <x v="4"/>
    <s v="CMR004005"/>
    <s v="Kolofata"/>
    <s v="CMR004005001"/>
    <s v="BLAKOLTCHI"/>
    <s v="CMR0040050032"/>
    <s v="Host_Family"/>
    <m/>
    <s v="Conflict_ISWA"/>
    <s v="Cameroon"/>
    <s v="CMR"/>
    <s v="Extrême-Nord"/>
    <s v="CMR004"/>
    <s v="Mayo-Sava"/>
    <s v="CMR004005"/>
    <s v="Kolofata"/>
    <s v="CMR004005001"/>
    <n v="13.954986999999999"/>
    <n v="11.245374"/>
  </r>
  <r>
    <x v="4"/>
    <s v="CMR004005"/>
    <s v="Kolofata"/>
    <s v="CMR004005001"/>
    <s v="GARDWATCHI"/>
    <s v="CMR0040050092"/>
    <s v="Host_Family"/>
    <m/>
    <s v="Conflict_ISWA"/>
    <s v="Cameroon"/>
    <s v="CMR"/>
    <s v="Extrême-Nord"/>
    <s v="CMR004"/>
    <s v="Mayo-Sava"/>
    <s v="CMR004005"/>
    <s v="Kolofata"/>
    <s v="CMR004005001"/>
    <n v="14.134537"/>
    <n v="11.136668"/>
  </r>
  <r>
    <x v="4"/>
    <s v="CMR004005"/>
    <s v="Kolofata"/>
    <s v="CMR004005001"/>
    <s v="GOUDERI"/>
    <s v="CMR0040050103"/>
    <s v="Host_Family"/>
    <m/>
    <s v="Conflict_ISWA"/>
    <s v="Cameroon"/>
    <s v="CMR"/>
    <s v="Extrême-Nord"/>
    <s v="CMR004"/>
    <s v="Mayo-Sava"/>
    <s v="CMR004005"/>
    <s v="Kolofata"/>
    <s v="CMR004005001"/>
    <n v="13.959075"/>
    <n v="11.217971"/>
  </r>
  <r>
    <x v="4"/>
    <s v="CMR004005"/>
    <s v="Kolofata"/>
    <s v="CMR004005001"/>
    <s v="GREA"/>
    <s v="CMR0040050113"/>
    <s v="Host_Family"/>
    <m/>
    <s v="Conflict_ISWA"/>
    <s v="Cameroon"/>
    <s v="CMR"/>
    <s v="Extrême-Nord"/>
    <s v="CMR004"/>
    <s v="Mayo-Sava"/>
    <s v="CMR004005"/>
    <s v="Kolofata"/>
    <s v="CMR004005001"/>
    <n v="14.03595"/>
    <n v="11.219175"/>
  </r>
  <r>
    <x v="4"/>
    <s v="CMR004005"/>
    <s v="Kolofata"/>
    <s v="CMR004005001"/>
    <s v="KERAWA"/>
    <s v="CMR0040050143"/>
    <s v="Host_Family"/>
    <m/>
    <s v="Conflict_ISWA"/>
    <s v="Cameroon"/>
    <s v="CMR"/>
    <s v="Extrême-Nord"/>
    <s v="CMR004"/>
    <s v="Mayo-Sava"/>
    <s v="CMR004005"/>
    <s v="Kolofata"/>
    <s v="CMR004005001"/>
    <n v="13.913522"/>
    <n v="11.182525"/>
  </r>
  <r>
    <x v="4"/>
    <s v="CMR004005"/>
    <s v="Kolofata"/>
    <s v="CMR004005001"/>
    <s v="KIDJIMATARI"/>
    <s v="CMR0040020639"/>
    <s v="Host_Family"/>
    <m/>
    <s v="Conflict_ISWA"/>
    <s v="Cameroon"/>
    <s v="CMR"/>
    <s v="Extrême-Nord"/>
    <s v="CMR004"/>
    <s v="Mayo-Sava"/>
    <s v="CMR004005"/>
    <s v="Kolofata"/>
    <s v="CMR004005001"/>
    <n v="14.567500000000001"/>
    <n v="11.406389000000001"/>
  </r>
  <r>
    <x v="4"/>
    <s v="CMR004005"/>
    <s v="Kolofata"/>
    <s v="CMR004005001"/>
    <s v="KORDO"/>
    <s v="CMR0040050154"/>
    <s v="Host_Family"/>
    <m/>
    <s v="Conflict_ISWA"/>
    <s v="Cameroon"/>
    <s v="CMR"/>
    <s v="Extrême-Nord"/>
    <s v="CMR004"/>
    <s v="Mayo-Sava"/>
    <s v="CMR004005"/>
    <s v="Kolofata"/>
    <s v="CMR004005001"/>
    <n v="13.999351000000001"/>
    <n v="11.243149000000001"/>
  </r>
  <r>
    <x v="4"/>
    <s v="CMR004005"/>
    <s v="Kolofata"/>
    <s v="CMR004005001"/>
    <s v="MANAWATCHI"/>
    <s v="CMR0040020792"/>
    <s v="Host_Family"/>
    <m/>
    <s v="Conflict_ISWA"/>
    <s v="Cameroon"/>
    <s v="CMR"/>
    <s v="Extrême-Nord"/>
    <s v="CMR004"/>
    <s v="Mayo-Sava"/>
    <s v="CMR004005"/>
    <s v="Kolofata"/>
    <s v="CMR004005001"/>
    <n v="15.108511"/>
    <n v="11.538745"/>
  </r>
  <r>
    <x v="4"/>
    <s v="CMR004005"/>
    <s v="Kolofata"/>
    <s v="CMR004005001"/>
    <s v="POULATARI"/>
    <s v="CMR0040050300"/>
    <s v="Host_Family"/>
    <m/>
    <s v="Conflict_ISWA"/>
    <s v="Cameroon"/>
    <s v="CMR"/>
    <s v="Extrême-Nord"/>
    <s v="CMR004"/>
    <s v="Mayo-Sava"/>
    <s v="CMR004005"/>
    <s v="Kolofata"/>
    <s v="CMR004005001"/>
    <n v="14.005390999999999"/>
    <n v="11.175499"/>
  </r>
  <r>
    <x v="4"/>
    <s v="CMR004005"/>
    <s v="Kolofata"/>
    <s v="CMR004005001"/>
    <s v="TALAMADE"/>
    <s v="CMR0040050338"/>
    <s v="Host_Family"/>
    <m/>
    <s v="Conflict_ISWA"/>
    <s v="Cameroon"/>
    <s v="CMR"/>
    <s v="Extrême-Nord"/>
    <s v="CMR004"/>
    <s v="Mayo-Sava"/>
    <s v="CMR004005"/>
    <s v="Kolofata"/>
    <s v="CMR004005001"/>
    <n v="14.021100000000001"/>
    <n v="11.283892"/>
  </r>
  <r>
    <x v="4"/>
    <s v="CMR004005"/>
    <s v="Kolofata"/>
    <s v="CMR004005001"/>
    <s v="WAOULI"/>
    <s v="CMR0040050360"/>
    <s v="Host_Family"/>
    <m/>
    <s v="Conflict_ISWA"/>
    <s v="Cameroon"/>
    <s v="CMR"/>
    <s v="Extrême-Nord"/>
    <s v="CMR004"/>
    <s v="Mayo-Sava"/>
    <s v="CMR004005"/>
    <s v="Kolofata"/>
    <s v="CMR004005001"/>
    <n v="14.011429"/>
    <n v="11.193899999999999"/>
  </r>
  <r>
    <x v="4"/>
    <s v="CMR004005"/>
    <s v="Kolofata"/>
    <s v="CMR004005001"/>
    <s v="WARADE"/>
    <s v="CMR0040050361"/>
    <s v="Host_Family"/>
    <m/>
    <s v="Conflict_ISWA"/>
    <s v="Cameroon"/>
    <s v="CMR"/>
    <s v="Extrême-Nord"/>
    <s v="CMR004"/>
    <s v="Mayo-Sava"/>
    <s v="CMR004005"/>
    <s v="Kolofata"/>
    <s v="CMR004005001"/>
    <n v="13.951663"/>
    <n v="11.150494999999999"/>
  </r>
  <r>
    <x v="4"/>
    <s v="CMR004005"/>
    <s v="Kolofata"/>
    <s v="CMR004005001"/>
    <s v="YAZOULARI"/>
    <s v="CMR0040050369"/>
    <s v="Host_Family"/>
    <m/>
    <s v="Conflict_ISWA"/>
    <s v="Cameroon"/>
    <s v="CMR"/>
    <s v="Extrême-Nord"/>
    <s v="CMR004"/>
    <s v="Mayo-Sava"/>
    <s v="CMR004005"/>
    <s v="Kolofata"/>
    <s v="CMR004005001"/>
    <n v="14.01619"/>
    <n v="11.182674"/>
  </r>
  <r>
    <x v="4"/>
    <s v="CMR004005"/>
    <s v="Mora"/>
    <s v="CMR004005002"/>
    <s v="GODIGONG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Mora"/>
    <s v="CMR004005002"/>
    <s v="KOMGUI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Mora"/>
    <s v="CMR004005002"/>
    <s v="MEME-VILL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Mora"/>
    <s v="CMR004005002"/>
    <s v="MORA MASSEF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Mora"/>
    <s v="CMR004005002"/>
    <s v="MORA VILL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Mora"/>
    <s v="CMR004005002"/>
    <s v="NDOULOU"/>
    <m/>
    <s v="Camp/Site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Mora"/>
    <s v="CMR004005002"/>
    <s v="BALDAMA"/>
    <s v="CMR0040050021"/>
    <s v="Host_Family"/>
    <m/>
    <s v="Conflict_ISWA"/>
    <s v="Cameroon"/>
    <s v="CMR"/>
    <s v="Extrême-Nord"/>
    <s v="CMR004"/>
    <s v="Mayo-Sava"/>
    <s v="CMR004005"/>
    <s v="Mora"/>
    <s v="CMR004005002"/>
    <n v="14.068830999999999"/>
    <n v="10.989825"/>
  </r>
  <r>
    <x v="4"/>
    <s v="CMR004005"/>
    <s v="Mora"/>
    <s v="CMR004005002"/>
    <s v="OUDJILA"/>
    <s v="CMR0040050285"/>
    <s v="Host_Family"/>
    <m/>
    <s v="Conflict_ISWA"/>
    <s v="Cameroon"/>
    <s v="CMR"/>
    <s v="Extrême-Nord"/>
    <s v="CMR004"/>
    <s v="Mayo-Sava"/>
    <s v="CMR004005"/>
    <s v="Mora"/>
    <s v="CMR004005002"/>
    <n v="14.096667"/>
    <n v="11.011945000000001"/>
  </r>
  <r>
    <x v="4"/>
    <s v="CMR004005"/>
    <s v="Tokombere"/>
    <s v="CMR004005003"/>
    <s v="MADA-KOLKACH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Tokombere"/>
    <s v="CMR004005003"/>
    <s v="MAKELINGAI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Tokombere"/>
    <s v="CMR004005003"/>
    <s v="MBZAGABAI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Tokombere"/>
    <s v="CMR004005003"/>
    <s v="MOKGO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Tokombere"/>
    <s v="CMR004005003"/>
    <s v="TALA-MAD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4"/>
    <s v="CMR004005"/>
    <s v="Tokombere"/>
    <s v="CMR004005003"/>
    <s v="TEKOMBERE"/>
    <m/>
    <s v="Host_Family"/>
    <m/>
    <s v="Conflict_ISWA"/>
    <s v="Cameroon"/>
    <s v="CMR"/>
    <s v="Extrême-Nord"/>
    <s v="CMR004"/>
    <s v="Mayo-Sava"/>
    <s v="CMR004005"/>
    <s v="Mora"/>
    <s v="CMR004005002"/>
    <m/>
    <m/>
  </r>
  <r>
    <x v="4"/>
    <s v="CMR004005"/>
    <s v="Tokombere"/>
    <s v="CMR004005003"/>
    <s v="BAKA"/>
    <s v="CMR0040050018"/>
    <s v="Host_Family"/>
    <m/>
    <s v="Conflict_ISWA"/>
    <s v="Cameroon"/>
    <s v="CMR"/>
    <s v="Extrême-Nord"/>
    <s v="CMR004"/>
    <s v="Mayo-Sava"/>
    <s v="CMR004005"/>
    <s v="Mora"/>
    <s v="CMR004005002"/>
    <n v="14.206543999999999"/>
    <n v="10.872706000000001"/>
  </r>
  <r>
    <x v="4"/>
    <s v="CMR004005"/>
    <s v="Tokombere"/>
    <s v="CMR004005003"/>
    <s v="JEMELE"/>
    <s v="CMR0040050132"/>
    <s v="Host_Family"/>
    <m/>
    <s v="Conflict_ISWA"/>
    <s v="Cameroon"/>
    <s v="CMR"/>
    <s v="Extrême-Nord"/>
    <s v="CMR004"/>
    <s v="Mayo-Sava"/>
    <s v="CMR004005"/>
    <s v="Mora"/>
    <s v="CMR004005002"/>
    <n v="14.089729"/>
    <n v="10.931367"/>
  </r>
  <r>
    <x v="4"/>
    <s v="CMR004005"/>
    <s v="Tokombere"/>
    <s v="CMR004005003"/>
    <s v="KOUROM"/>
    <s v="CMR0040050163"/>
    <s v="Host_Family"/>
    <m/>
    <s v="Conflict_ISWA"/>
    <s v="Cameroon"/>
    <s v="CMR"/>
    <s v="Extrême-Nord"/>
    <s v="CMR004"/>
    <s v="Mayo-Sava"/>
    <s v="CMR004005"/>
    <s v="Mora"/>
    <s v="CMR004005002"/>
    <n v="14.079658999999999"/>
    <n v="10.874034"/>
  </r>
  <r>
    <x v="4"/>
    <s v="CMR004005"/>
    <s v="Tokombere"/>
    <s v="CMR004005003"/>
    <s v="MADOUVAYA"/>
    <s v="CMR0040050179"/>
    <s v="Host_Family"/>
    <m/>
    <s v="Conflict_ISWA"/>
    <s v="Cameroon"/>
    <s v="CMR"/>
    <s v="Extrême-Nord"/>
    <s v="CMR004"/>
    <s v="Mayo-Sava"/>
    <s v="CMR004005"/>
    <s v="Kolofata"/>
    <s v="CMR004005001"/>
    <n v="14.188212"/>
    <n v="10.846465"/>
  </r>
  <r>
    <x v="4"/>
    <s v="CMR004005"/>
    <s v="Tokombere"/>
    <s v="CMR004005003"/>
    <s v="MOUKBA"/>
    <s v="CMR0040050256"/>
    <s v="Host_Family"/>
    <m/>
    <s v="Conflict_ISWA"/>
    <s v="Cameroon"/>
    <s v="CMR"/>
    <s v="Extrême-Nord"/>
    <s v="CMR004"/>
    <s v="Mayo-Sava"/>
    <s v="CMR004005"/>
    <s v="Mora"/>
    <s v="CMR004005002"/>
    <n v="14.167531"/>
    <n v="10.929959999999999"/>
  </r>
  <r>
    <x v="4"/>
    <s v="CMR004005"/>
    <s v="Tokombere"/>
    <s v="CMR004005003"/>
    <s v="OULDEME"/>
    <s v="CMR0040050287"/>
    <s v="Host_Family"/>
    <m/>
    <s v="Conflict_ISWA"/>
    <s v="Cameroon"/>
    <s v="CMR"/>
    <s v="Extrême-Nord"/>
    <s v="CMR004"/>
    <s v="Mayo-Sava"/>
    <s v="CMR004005"/>
    <s v="Kolofata"/>
    <s v="CMR004005001"/>
    <n v="14.129439"/>
    <n v="10.941323000000001"/>
  </r>
  <r>
    <x v="4"/>
    <s v="CMR004005"/>
    <s v="Tokombere"/>
    <s v="CMR004005003"/>
    <s v="PALBARA"/>
    <s v="CMR0040050296"/>
    <s v="Host_Family"/>
    <m/>
    <s v="Conflict_ISWA"/>
    <s v="Cameroon"/>
    <s v="CMR"/>
    <s v="Extrême-Nord"/>
    <s v="CMR004"/>
    <s v="Mayo-Sava"/>
    <s v="CMR004005"/>
    <s v="Mora"/>
    <s v="CMR004005002"/>
    <n v="14.211192"/>
    <n v="10.907541"/>
  </r>
  <r>
    <x v="4"/>
    <s v="CMR004005"/>
    <s v="Tokombere"/>
    <s v="CMR004005003"/>
    <s v="SERAWA"/>
    <s v="CMR0040050323"/>
    <s v="Host_Family"/>
    <m/>
    <s v="Conflict_ISWA"/>
    <s v="Cameroon"/>
    <s v="CMR"/>
    <s v="Extrême-Nord"/>
    <s v="CMR004"/>
    <s v="Mayo-Sava"/>
    <s v="CMR004005"/>
    <s v="Kolofata"/>
    <s v="CMR004005001"/>
    <n v="14.14254"/>
    <n v="10.847329999999999"/>
  </r>
  <r>
    <x v="4"/>
    <s v="CMR004005"/>
    <s v="Tokombere"/>
    <s v="CMR004005003"/>
    <s v="TAZANG"/>
    <s v="CMR0040050342"/>
    <s v="Host_Family"/>
    <m/>
    <s v="Conflict_ISWA"/>
    <s v="Cameroon"/>
    <s v="CMR"/>
    <s v="Extrême-Nord"/>
    <s v="CMR004"/>
    <s v="Mayo-Sava"/>
    <s v="CMR004005"/>
    <s v="Mora"/>
    <s v="CMR004005002"/>
    <n v="14.122687000000001"/>
    <n v="10.926674999999999"/>
  </r>
  <r>
    <x v="4"/>
    <s v="CMR004005"/>
    <s v="Tokombere"/>
    <s v="CMR004005003"/>
    <s v="TCHABATCHABA"/>
    <s v="CMR0040050343"/>
    <s v="Host_Family"/>
    <m/>
    <s v="Conflict_ISWA"/>
    <s v="Cameroon"/>
    <s v="CMR"/>
    <s v="Extrême-Nord"/>
    <s v="CMR004"/>
    <s v="Mayo-Sava"/>
    <s v="CMR004005"/>
    <s v="Mora"/>
    <s v="CMR004005002"/>
    <n v="14.238848000000001"/>
    <n v="10.924193000000001"/>
  </r>
  <r>
    <x v="4"/>
    <s v="CMR004005"/>
    <s v="Tokombere"/>
    <s v="CMR004005003"/>
    <s v="TINDERME"/>
    <s v="CMR0040050347"/>
    <s v="Host_Family"/>
    <m/>
    <s v="Conflict_ISWA"/>
    <s v="Cameroon"/>
    <s v="CMR"/>
    <s v="Extrême-Nord"/>
    <s v="CMR004"/>
    <s v="Mayo-Sava"/>
    <s v="CMR004005"/>
    <s v="Mora"/>
    <s v="CMR004005002"/>
    <n v="14.231452000000001"/>
    <n v="10.90193"/>
  </r>
  <r>
    <x v="5"/>
    <s v="CMR004006"/>
    <s v="Bourha"/>
    <s v="CMR004006007"/>
    <s v="BOUKOULA"/>
    <s v="CMR0040060043"/>
    <s v="Host_Family"/>
    <m/>
    <s v="Conflict_ISWA"/>
    <s v="Cameroon"/>
    <s v="CMR"/>
    <s v="Extrême-Nord"/>
    <s v="CMR004"/>
    <s v="Mayo-Tsanaga"/>
    <s v="CMR004006"/>
    <s v="Mozogo"/>
    <s v="CMR004006005"/>
    <n v="13.448722999999999"/>
    <n v="10.146089999999999"/>
  </r>
  <r>
    <x v="5"/>
    <s v="CMR004006"/>
    <s v="Bourha"/>
    <s v="CMR004006007"/>
    <s v="BOURHA"/>
    <s v="CMR0040060049"/>
    <s v="Host_Family"/>
    <m/>
    <s v="Conflict_ISWA"/>
    <s v="Cameroon"/>
    <s v="CMR"/>
    <s v="Nord"/>
    <s v="CMR006"/>
    <s v="Mayo-Louti"/>
    <s v="CMR006003"/>
    <s v="Guider"/>
    <s v="CMR006003002"/>
    <n v="13.509168000000001"/>
    <n v="10.252129999999999"/>
  </r>
  <r>
    <x v="5"/>
    <s v="CMR004006"/>
    <s v="Bourha"/>
    <s v="CMR004006007"/>
    <s v="GAMBOURA"/>
    <s v="CMR0040060132"/>
    <s v="Host_Family"/>
    <m/>
    <s v="Conflict_ISWA"/>
    <s v="Cameroon"/>
    <s v="CMR"/>
    <s v="Extrême-Nord"/>
    <s v="CMR004"/>
    <s v="Mayo-Tsanaga"/>
    <s v="CMR004006"/>
    <s v="Bourha"/>
    <s v="CMR004006007"/>
    <n v="13.650656"/>
    <n v="10.281321999999999"/>
  </r>
  <r>
    <x v="5"/>
    <s v="CMR004006"/>
    <s v="Bourha"/>
    <s v="CMR004006007"/>
    <s v="GUILI"/>
    <s v="CMR0040060182"/>
    <s v="Host_Family"/>
    <m/>
    <s v="Conflict_ISWA"/>
    <s v="Cameroon"/>
    <s v="CMR"/>
    <s v="Extrême-Nord"/>
    <s v="CMR004"/>
    <s v="Mayo-Tsanaga"/>
    <s v="CMR004006"/>
    <s v="Mokolo"/>
    <s v="CMR004006002"/>
    <n v="13.736020999999999"/>
    <n v="10.623848000000001"/>
  </r>
  <r>
    <x v="5"/>
    <s v="CMR004006"/>
    <s v="Bourha"/>
    <s v="CMR004006007"/>
    <s v="TCHEVI"/>
    <s v="CMR0040060732"/>
    <s v="Host_Family"/>
    <m/>
    <s v="Conflict_ISWA"/>
    <s v="Cameroon"/>
    <s v="CMR"/>
    <s v="Extrême-Nord"/>
    <s v="CMR004"/>
    <s v="Mayo-Tsanaga"/>
    <s v="CMR004006"/>
    <s v="Mozogo"/>
    <s v="CMR004006005"/>
    <n v="13.505383999999999"/>
    <n v="10.164305000000001"/>
  </r>
  <r>
    <x v="5"/>
    <s v="CMR004006"/>
    <s v="Hina"/>
    <s v="CMR004006003"/>
    <s v="BASARA"/>
    <m/>
    <s v="Host_Family"/>
    <m/>
    <s v="Conflict_ISWA"/>
    <s v="Cameroon"/>
    <s v="CMR"/>
    <s v="Extrême-Nord"/>
    <s v="CMR004"/>
    <s v="Mayo-Tsanaga"/>
    <s v="CMR004006"/>
    <s v="Mogode"/>
    <s v="CMR004006001"/>
    <m/>
    <m/>
  </r>
  <r>
    <x v="5"/>
    <s v="CMR004006"/>
    <s v="Hina"/>
    <s v="CMR004006003"/>
    <s v="MADINA"/>
    <m/>
    <s v="Host_Family"/>
    <m/>
    <s v="Conflict_ISWA"/>
    <s v="Cameroon"/>
    <s v="CMR"/>
    <s v="Extrême-Nord"/>
    <s v="CMR004"/>
    <s v="Mayo-Tsanaga"/>
    <s v="CMR004006"/>
    <s v="Mokolo"/>
    <s v="CMR004006002"/>
    <m/>
    <m/>
  </r>
  <r>
    <x v="5"/>
    <s v="CMR004006"/>
    <s v="Hina"/>
    <s v="CMR004006003"/>
    <s v="MOULAR"/>
    <m/>
    <s v="Host_Family"/>
    <m/>
    <s v="Conflict_ISWA"/>
    <s v="Cameroon"/>
    <s v="CMR"/>
    <s v="Extrême-Nord"/>
    <s v="CMR004"/>
    <s v="Mayo-Tsanaga"/>
    <s v="CMR004006"/>
    <s v="Bourha"/>
    <s v="CMR004006007"/>
    <m/>
    <m/>
  </r>
  <r>
    <x v="5"/>
    <s v="CMR004006"/>
    <s v="Hina"/>
    <s v="CMR004006003"/>
    <s v="BAMGUELMBORORO"/>
    <s v="CMR0040060013"/>
    <s v="Host_Family"/>
    <m/>
    <s v="Conflict_ISWA"/>
    <s v="Cameroon"/>
    <s v="CMR"/>
    <s v="Extrême-Nord"/>
    <s v="CMR004"/>
    <s v="Mayo-Tsanaga"/>
    <s v="CMR004006"/>
    <s v="Koza"/>
    <s v="CMR004006004"/>
    <n v="13.831623"/>
    <n v="10.285606"/>
  </r>
  <r>
    <x v="5"/>
    <s v="CMR004006"/>
    <s v="Hina"/>
    <s v="CMR004006003"/>
    <s v="BERING"/>
    <s v="CMR0040060025"/>
    <s v="Host_Family"/>
    <m/>
    <s v="Conflict_ISWA"/>
    <s v="Cameroon"/>
    <s v="CMR"/>
    <s v="Extrême-Nord"/>
    <s v="CMR004"/>
    <s v="Mayo-Tsanaga"/>
    <s v="CMR004006"/>
    <s v="Mogode"/>
    <s v="CMR004006001"/>
    <n v="13.772053"/>
    <n v="10.416866000000001"/>
  </r>
  <r>
    <x v="5"/>
    <s v="CMR004006"/>
    <s v="Hina"/>
    <s v="CMR004006003"/>
    <s v="DJOUMDJOUM"/>
    <s v="CMR0040060097"/>
    <s v="Host_Family"/>
    <m/>
    <s v="Conflict_ISWA"/>
    <s v="Cameroon"/>
    <s v="CMR"/>
    <s v="Extrême-Nord"/>
    <s v="CMR004"/>
    <s v="Mayo-Tsanaga"/>
    <s v="CMR004006"/>
    <s v="Koza"/>
    <s v="CMR004006004"/>
    <n v="13.758098"/>
    <n v="10.308733999999999"/>
  </r>
  <r>
    <x v="5"/>
    <s v="CMR004006"/>
    <s v="Hina"/>
    <s v="CMR004006003"/>
    <s v="GAMDOUGOUM"/>
    <s v="CMR0040060133"/>
    <s v="Host_Family"/>
    <m/>
    <s v="Conflict_ISWA"/>
    <s v="Cameroon"/>
    <s v="CMR"/>
    <s v="Extrême-Nord"/>
    <s v="CMR004"/>
    <s v="Mayo-Tsanaga"/>
    <s v="CMR004006"/>
    <s v="Koza"/>
    <s v="CMR004006004"/>
    <n v="13.754284999999999"/>
    <n v="10.29621"/>
  </r>
  <r>
    <x v="5"/>
    <s v="CMR004006"/>
    <s v="Hina"/>
    <s v="CMR004006003"/>
    <s v="HINA"/>
    <s v="CMR0040060192"/>
    <s v="Host_Family"/>
    <m/>
    <s v="Conflict_ISWA"/>
    <s v="Cameroon"/>
    <s v="CMR"/>
    <s v="Extrême-Nord"/>
    <s v="CMR004"/>
    <s v="Mayo-Tsanaga"/>
    <s v="CMR004006"/>
    <s v="Bourha"/>
    <s v="CMR004006007"/>
    <n v="13.851293999999999"/>
    <n v="10.363315"/>
  </r>
  <r>
    <x v="5"/>
    <s v="CMR004006"/>
    <s v="Hina"/>
    <s v="CMR004006003"/>
    <s v="KAFTAKA"/>
    <s v="CMR0040060314"/>
    <s v="Host_Family"/>
    <m/>
    <s v="Conflict_ISWA"/>
    <s v="Cameroon"/>
    <s v="CMR"/>
    <s v="Extrême-Nord"/>
    <s v="CMR004"/>
    <s v="Mayo-Tsanaga"/>
    <s v="CMR004006"/>
    <s v="Bourha"/>
    <s v="CMR004006007"/>
    <n v="13.799488"/>
    <n v="10.382716"/>
  </r>
  <r>
    <x v="5"/>
    <s v="CMR004006"/>
    <s v="Hina"/>
    <s v="CMR004006003"/>
    <s v="MAYOKABA"/>
    <s v="CMR0040060449"/>
    <s v="Host_Family"/>
    <m/>
    <s v="Conflict_ISWA"/>
    <s v="Cameroon"/>
    <s v="CMR"/>
    <s v="Extrême-Nord"/>
    <s v="CMR004"/>
    <s v="Mayo-Tsanaga"/>
    <s v="CMR004006"/>
    <s v="Mogode"/>
    <s v="CMR004006001"/>
    <n v="13.871155"/>
    <n v="10.291433"/>
  </r>
  <r>
    <x v="5"/>
    <s v="CMR004006"/>
    <s v="Hina"/>
    <s v="CMR004006003"/>
    <s v="ZOUVOUL"/>
    <s v="CMR0040060811"/>
    <s v="Host_Family"/>
    <m/>
    <s v="Conflict_ISWA"/>
    <s v="Cameroon"/>
    <s v="CMR"/>
    <s v="Extrême-Nord"/>
    <s v="CMR004"/>
    <s v="Mayo-Tsanaga"/>
    <s v="CMR004006"/>
    <s v="Koza"/>
    <s v="CMR004006004"/>
    <n v="13.894835"/>
    <n v="10.253299"/>
  </r>
  <r>
    <x v="5"/>
    <s v="CMR004006"/>
    <s v="Koza"/>
    <s v="CMR004006004"/>
    <s v="DJENGUE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DJINCLIYA MONTAGN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DJINCLIYA PLAIN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DOBONGO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DOURWAD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GUID-BAL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GUIDIMBEK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HAMDALA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HIRCHE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KECHKEM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MODOGO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MORGO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TENDEO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Koza"/>
    <s v="CMR004006004"/>
    <s v="WALAD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Koza"/>
    <s v="CMR004006004"/>
    <s v="BIGUIDI"/>
    <s v="CMR0040060030"/>
    <s v="Host_Family"/>
    <m/>
    <s v="Conflict_ISWA"/>
    <s v="Cameroon"/>
    <s v="CMR"/>
    <s v="Extrême-Nord"/>
    <s v="CMR004"/>
    <s v="Mayo-Sava"/>
    <s v="CMR004005"/>
    <s v="Kolofata"/>
    <s v="CMR004005001"/>
    <n v="13.765447999999999"/>
    <n v="10.356268"/>
  </r>
  <r>
    <x v="5"/>
    <s v="CMR004006"/>
    <s v="Koza"/>
    <s v="CMR004006004"/>
    <s v="GABAS"/>
    <s v="CMR00400604991"/>
    <s v="Host_Family"/>
    <m/>
    <s v="Conflict_ISWA"/>
    <s v="Cameroon"/>
    <s v="CMR"/>
    <s v="Extrême-Nord"/>
    <s v="CMR004"/>
    <s v="Mayo-Sava"/>
    <s v="CMR004005"/>
    <s v="Kolofata"/>
    <s v="CMR004005001"/>
    <n v="13.841523"/>
    <n v="10.872423"/>
  </r>
  <r>
    <x v="5"/>
    <s v="CMR004006"/>
    <s v="Koza"/>
    <s v="CMR004006004"/>
    <s v="GABOUA"/>
    <s v="CMR0040050082"/>
    <s v="Host_Family"/>
    <m/>
    <s v="Conflict_ISWA"/>
    <s v="Cameroon"/>
    <s v="CMR"/>
    <s v="Extrême-Nord"/>
    <s v="CMR004"/>
    <s v="Mayo-Sava"/>
    <s v="CMR004005"/>
    <s v="Kolofata"/>
    <s v="CMR004005001"/>
    <n v="13.977326"/>
    <n v="10.917334"/>
  </r>
  <r>
    <x v="5"/>
    <s v="CMR004006"/>
    <s v="Koza"/>
    <s v="CMR004006004"/>
    <s v="GALDALA"/>
    <s v="CMR0040060128"/>
    <s v="Host_Family"/>
    <m/>
    <s v="Conflict_ISWA"/>
    <s v="Cameroon"/>
    <s v="CMR"/>
    <s v="Extrême-Nord"/>
    <s v="CMR004"/>
    <s v="Mayo-Sava"/>
    <s v="CMR004005"/>
    <s v="Kolofata"/>
    <s v="CMR004005001"/>
    <n v="13.897717"/>
    <n v="10.929929"/>
  </r>
  <r>
    <x v="5"/>
    <s v="CMR004006"/>
    <s v="Koza"/>
    <s v="CMR004006004"/>
    <s v="GALDALA"/>
    <s v="CMR0040060128"/>
    <s v="Host_Family"/>
    <m/>
    <s v="Conflict_ISWA"/>
    <s v="Cameroon"/>
    <s v="CMR"/>
    <s v="Extrême-Nord"/>
    <s v="CMR004"/>
    <s v="Mayo-Sava"/>
    <s v="CMR004005"/>
    <s v="Kolofata"/>
    <s v="CMR004005001"/>
    <n v="13.897717"/>
    <n v="10.929929"/>
  </r>
  <r>
    <x v="5"/>
    <s v="CMR004006"/>
    <s v="Koza"/>
    <s v="CMR004006004"/>
    <s v="GOUSDA"/>
    <s v="CMR0040060176"/>
    <s v="Host_Family"/>
    <m/>
    <s v="Conflict_ISWA"/>
    <s v="Cameroon"/>
    <s v="CMR"/>
    <s v="Extrême-Nord"/>
    <s v="CMR004"/>
    <s v="Mayo-Sava"/>
    <s v="CMR004005"/>
    <s v="Kolofata"/>
    <s v="CMR004005001"/>
    <n v="13.817113000000001"/>
    <n v="10.846468"/>
  </r>
  <r>
    <x v="5"/>
    <s v="CMR004006"/>
    <s v="Koza"/>
    <s v="CMR004006004"/>
    <s v="GUETALE"/>
    <s v="CMR0040040164"/>
    <s v="Host_Family"/>
    <m/>
    <s v="Conflict_ISWA"/>
    <s v="Cameroon"/>
    <s v="CMR"/>
    <s v="Extrême-Nord"/>
    <s v="CMR004"/>
    <s v="Mayo-Sava"/>
    <s v="CMR004005"/>
    <s v="Kolofata"/>
    <s v="CMR004005001"/>
    <n v="14.5"/>
    <n v="10.066667000000001"/>
  </r>
  <r>
    <x v="5"/>
    <s v="CMR004006"/>
    <s v="Koza"/>
    <s v="CMR004006004"/>
    <s v="KILDA"/>
    <s v="CMR0040060329"/>
    <s v="Host_Family"/>
    <m/>
    <s v="Conflict_ISWA"/>
    <s v="Cameroon"/>
    <s v="CMR"/>
    <s v="Extrême-Nord"/>
    <s v="CMR004"/>
    <s v="Mayo-Tsanaga"/>
    <s v="CMR004006"/>
    <s v="Mozogo"/>
    <s v="CMR004006005"/>
    <n v="13.9068"/>
    <n v="10.835262"/>
  </r>
  <r>
    <x v="5"/>
    <s v="CMR004006"/>
    <s v="Koza"/>
    <s v="CMR004006004"/>
    <s v="KOZA"/>
    <s v="CMR0040060354"/>
    <s v="Host_Family"/>
    <m/>
    <s v="Conflict_ISWA"/>
    <s v="Cameroon"/>
    <s v="CMR"/>
    <s v="Extrême-Nord"/>
    <s v="CMR004"/>
    <s v="Mayo-Sava"/>
    <s v="CMR004005"/>
    <s v="Kolofata"/>
    <s v="CMR004005001"/>
    <n v="13.878552000000001"/>
    <n v="10.870787999999999"/>
  </r>
  <r>
    <x v="5"/>
    <s v="CMR004006"/>
    <s v="Koza"/>
    <s v="CMR004006004"/>
    <s v="LAMORDE"/>
    <s v="CMR0040060367"/>
    <s v="Host_Family"/>
    <m/>
    <s v="Conflict_ISWA"/>
    <s v="Cameroon"/>
    <s v="CMR"/>
    <s v="Extrême-Nord"/>
    <s v="CMR004"/>
    <s v="Mayo-Tsanaga"/>
    <s v="CMR004006"/>
    <s v="Mozogo"/>
    <s v="CMR004006005"/>
    <n v="13.554971999999999"/>
    <n v="10.333888999999999"/>
  </r>
  <r>
    <x v="5"/>
    <s v="CMR004006"/>
    <s v="Koza"/>
    <s v="CMR004006004"/>
    <s v="MAKANDAY"/>
    <s v="CMR0040060402"/>
    <s v="Host_Family"/>
    <m/>
    <s v="Conflict_ISWA"/>
    <s v="Cameroon"/>
    <s v="CMR"/>
    <s v="Extrême-Nord"/>
    <s v="CMR004"/>
    <s v="Mayo-Sava"/>
    <s v="CMR004005"/>
    <s v="Kolofata"/>
    <s v="CMR004005001"/>
    <n v="13.828533999999999"/>
    <n v="10.816834"/>
  </r>
  <r>
    <x v="5"/>
    <s v="CMR004006"/>
    <s v="Koza"/>
    <s v="CMR004006004"/>
    <s v="MATAMAYA"/>
    <s v="CMR0040060419"/>
    <s v="Host_Family"/>
    <m/>
    <s v="Conflict_ISWA"/>
    <s v="Cameroon"/>
    <s v="CMR"/>
    <s v="Extrême-Nord"/>
    <s v="CMR004"/>
    <s v="Mayo-Sava"/>
    <s v="CMR004005"/>
    <s v="Kolofata"/>
    <s v="CMR004005001"/>
    <n v="13.919672"/>
    <n v="10.907064"/>
  </r>
  <r>
    <x v="5"/>
    <s v="CMR004006"/>
    <s v="Koza"/>
    <s v="CMR004006004"/>
    <s v="MAWA"/>
    <s v="CMR0040060427"/>
    <s v="Host_Family"/>
    <m/>
    <s v="Conflict_ISWA"/>
    <s v="Cameroon"/>
    <s v="CMR"/>
    <s v="Extrême-Nord"/>
    <s v="CMR004"/>
    <s v="Mayo-Sava"/>
    <s v="CMR004005"/>
    <s v="Kolofata"/>
    <s v="CMR004005001"/>
    <n v="13.921112000000001"/>
    <n v="10.934810000000001"/>
  </r>
  <r>
    <x v="5"/>
    <s v="CMR004006"/>
    <s v="Koza"/>
    <s v="CMR004006004"/>
    <s v="MAZI"/>
    <s v="CMR00400604994"/>
    <s v="Host_Family"/>
    <m/>
    <s v="Conflict_ISWA"/>
    <s v="Cameroon"/>
    <s v="CMR"/>
    <s v="Extrême-Nord"/>
    <s v="CMR004"/>
    <s v="Mayo-Tsanaga"/>
    <s v="CMR004006"/>
    <s v="Mozogo"/>
    <s v="CMR004006005"/>
    <n v="13.841523"/>
    <n v="10.872423"/>
  </r>
  <r>
    <x v="5"/>
    <s v="CMR004006"/>
    <s v="Koza"/>
    <s v="CMR004006004"/>
    <s v="OULAD"/>
    <s v="CMR0040060626"/>
    <s v="Host_Family"/>
    <m/>
    <s v="Conflict_ISWA"/>
    <s v="Cameroon"/>
    <s v="CMR"/>
    <s v="Extrême-Nord"/>
    <s v="CMR004"/>
    <s v="Mayo-Sava"/>
    <s v="CMR004005"/>
    <s v="Kolofata"/>
    <s v="CMR004005001"/>
    <n v="13.843622999999999"/>
    <n v="10.857278000000001"/>
  </r>
  <r>
    <x v="5"/>
    <s v="CMR004006"/>
    <s v="Koza"/>
    <s v="CMR004006004"/>
    <s v="PAMBAO"/>
    <s v="CMR00400604995"/>
    <s v="Host_Family"/>
    <m/>
    <s v="Conflict_ISWA"/>
    <s v="Cameroon"/>
    <s v="CMR"/>
    <s v="Extrême-Nord"/>
    <s v="CMR004"/>
    <s v="Mayo-Tsanaga"/>
    <s v="CMR004006"/>
    <s v="Mozogo"/>
    <s v="CMR004006005"/>
    <n v="13.841523"/>
    <n v="10.872423"/>
  </r>
  <r>
    <x v="5"/>
    <s v="CMR004006"/>
    <s v="Koza"/>
    <s v="CMR004006004"/>
    <s v="WAYAM"/>
    <s v="CMR0040060779"/>
    <s v="Host_Family"/>
    <m/>
    <s v="Conflict_ISWA"/>
    <s v="Cameroon"/>
    <s v="CMR"/>
    <s v="Extrême-Nord"/>
    <s v="CMR004"/>
    <s v="Mayo-Sava"/>
    <s v="CMR004005"/>
    <s v="Kolofata"/>
    <s v="CMR004005001"/>
    <n v="13.952519000000001"/>
    <n v="10.736959000000001"/>
  </r>
  <r>
    <x v="5"/>
    <s v="CMR004006"/>
    <s v="Koza"/>
    <s v="CMR004006004"/>
    <s v="ZILENG"/>
    <s v="CMR0040060802"/>
    <s v="Host_Family"/>
    <m/>
    <s v="Conflict_ISWA"/>
    <s v="Cameroon"/>
    <s v="CMR"/>
    <s v="Extrême-Nord"/>
    <s v="CMR004"/>
    <s v="Mayo-Sava"/>
    <s v="CMR004005"/>
    <s v="Kolofata"/>
    <s v="CMR004005001"/>
    <n v="13.840225"/>
    <n v="10.711847000000001"/>
  </r>
  <r>
    <x v="5"/>
    <s v="CMR004006"/>
    <s v="Mogode"/>
    <s v="CMR004006001"/>
    <s v="AMSA"/>
    <s v="CMR0040060007"/>
    <s v="Host_Family"/>
    <m/>
    <s v="Conflict_ISWA"/>
    <s v="Cameroon"/>
    <s v="CMR"/>
    <s v="Extrême-Nord"/>
    <s v="CMR004"/>
    <s v="Mayo-Tsanaga"/>
    <s v="CMR004006"/>
    <s v="Mogode"/>
    <s v="CMR004006001"/>
    <n v="13.543184"/>
    <n v="10.448195"/>
  </r>
  <r>
    <x v="5"/>
    <s v="CMR004006"/>
    <s v="Mogode"/>
    <s v="CMR004006001"/>
    <s v="VELE"/>
    <m/>
    <s v="Host_Family"/>
    <m/>
    <s v="Conflict_ISWA"/>
    <s v="Cameroon"/>
    <s v="CMR"/>
    <s v="Extrême-Nord"/>
    <s v="CMR004"/>
    <s v="Mayo-Tsanaga"/>
    <s v="CMR004006"/>
    <s v="Mogode"/>
    <s v="CMR004006001"/>
    <m/>
    <m/>
  </r>
  <r>
    <x v="5"/>
    <s v="CMR004006"/>
    <s v="Mogode"/>
    <s v="CMR004006001"/>
    <s v="ZIMI"/>
    <m/>
    <s v="Host_Family"/>
    <m/>
    <s v="Conflict_ISWA"/>
    <s v="Cameroon"/>
    <s v="CMR"/>
    <s v="Extrême-Nord"/>
    <s v="CMR004"/>
    <s v="Mayo-Tsanaga"/>
    <s v="CMR004006"/>
    <s v="Mogode"/>
    <s v="CMR004006001"/>
    <m/>
    <m/>
  </r>
  <r>
    <x v="5"/>
    <s v="CMR004006"/>
    <s v="Mogode"/>
    <s v="CMR004006001"/>
    <s v="GOURIA"/>
    <s v="CMR0040060171"/>
    <s v="Host_Family"/>
    <m/>
    <s v="Conflict_ISWA"/>
    <s v="Cameroon"/>
    <s v="CMR"/>
    <s v="Extrême-Nord"/>
    <s v="CMR004"/>
    <s v="Mayo-Tsanaga"/>
    <s v="CMR004006"/>
    <s v="Mogode"/>
    <s v="CMR004006001"/>
    <n v="13.582212999999999"/>
    <n v="10.561923"/>
  </r>
  <r>
    <x v="5"/>
    <s v="CMR004006"/>
    <s v="Mogode"/>
    <s v="CMR004006001"/>
    <s v="KILA"/>
    <s v="CMR0040060328"/>
    <s v="Host_Family"/>
    <m/>
    <s v="Conflict_ISWA"/>
    <s v="Cameroon"/>
    <s v="CMR"/>
    <s v="Extrême-Nord"/>
    <s v="CMR004"/>
    <s v="Mayo-Tsanaga"/>
    <s v="CMR004006"/>
    <s v="Mogode"/>
    <s v="CMR004006001"/>
    <n v="13.639697"/>
    <n v="10.462654000000001"/>
  </r>
  <r>
    <x v="5"/>
    <s v="CMR004006"/>
    <s v="Mogode"/>
    <s v="CMR004006001"/>
    <s v="MOGODE"/>
    <s v="CMR0040060539"/>
    <s v="Host_Family"/>
    <m/>
    <s v="Conflict_ISWA"/>
    <s v="Cameroon"/>
    <s v="CMR"/>
    <s v="Extrême-Nord"/>
    <s v="CMR004"/>
    <s v="Mayo-Tsanaga"/>
    <s v="CMR004006"/>
    <s v="Mogode"/>
    <s v="CMR004006001"/>
    <n v="13.56798"/>
    <n v="10.603365"/>
  </r>
  <r>
    <x v="5"/>
    <s v="CMR004006"/>
    <s v="Mogode"/>
    <s v="CMR004006001"/>
    <s v="RHUMSI"/>
    <s v="CMR0040060671"/>
    <s v="Host_Family"/>
    <m/>
    <s v="Conflict_ISWA"/>
    <s v="Cameroon"/>
    <s v="CMR"/>
    <s v="Extrême-Nord"/>
    <s v="CMR004"/>
    <s v="Mayo-Tsanaga"/>
    <s v="CMR004006"/>
    <s v="Mogode"/>
    <s v="CMR004006001"/>
    <n v="13.599641999999999"/>
    <n v="10.689629"/>
  </r>
  <r>
    <x v="5"/>
    <s v="CMR004006"/>
    <s v="Mogode"/>
    <s v="CMR004006001"/>
    <s v="ROUMSIKI"/>
    <s v="CMR0040060689"/>
    <s v="Host_Family"/>
    <m/>
    <s v="Conflict_ISWA"/>
    <s v="Cameroon"/>
    <s v="CMR"/>
    <s v="Extrême-Nord"/>
    <s v="CMR004"/>
    <s v="Mayo-Tsanaga"/>
    <s v="CMR004006"/>
    <s v="Mogode"/>
    <s v="CMR004006001"/>
    <n v="13.581848000000001"/>
    <n v="10.510152"/>
  </r>
  <r>
    <x v="5"/>
    <s v="CMR004006"/>
    <s v="Mogode"/>
    <s v="CMR004006001"/>
    <s v="SIR"/>
    <s v="CMR0040060713"/>
    <s v="Host_Family"/>
    <m/>
    <s v="Conflict_ISWA"/>
    <s v="Cameroon"/>
    <s v="CMR"/>
    <s v="Extrême-Nord"/>
    <s v="CMR004"/>
    <s v="Mayo-Tsanaga"/>
    <s v="CMR004006"/>
    <s v="Mogode"/>
    <s v="CMR004006001"/>
    <n v="13.687055000000001"/>
    <n v="10.551572"/>
  </r>
  <r>
    <x v="5"/>
    <s v="CMR004006"/>
    <s v="Mogode"/>
    <s v="CMR004006001"/>
    <s v="VITE"/>
    <s v="CMR0040060758"/>
    <s v="Host_Family"/>
    <m/>
    <s v="Conflict_ISWA"/>
    <s v="Cameroon"/>
    <s v="CMR"/>
    <s v="Extrême-Nord"/>
    <s v="CMR004"/>
    <s v="Mayo-Tsanaga"/>
    <s v="CMR004006"/>
    <s v="Mogode"/>
    <s v="CMR004006001"/>
    <n v="13.639984999999999"/>
    <n v="10.637986"/>
  </r>
  <r>
    <x v="5"/>
    <s v="CMR004006"/>
    <s v="Mokolo"/>
    <s v="CMR004006002"/>
    <s v="DJIN DJIN"/>
    <m/>
    <s v="Host_Family"/>
    <m/>
    <s v="Conflict_ISWA"/>
    <s v="Cameroon"/>
    <s v="CMR"/>
    <s v="Extrême-Nord"/>
    <s v="CMR004"/>
    <s v="Mayo-Sava"/>
    <s v="CMR004005"/>
    <s v="Kolofata"/>
    <s v="CMR004005001"/>
    <m/>
    <m/>
  </r>
  <r>
    <x v="5"/>
    <s v="CMR004006"/>
    <s v="Mokolo"/>
    <s v="CMR004006002"/>
    <s v="LDOUBAM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Mokolo"/>
    <s v="CMR004006002"/>
    <s v="TOUFFOU"/>
    <m/>
    <s v="Host_Family"/>
    <m/>
    <s v="Conflict_ISWA"/>
    <s v="Cameroon"/>
    <s v="CMR"/>
    <s v="Extrême-Nord"/>
    <s v="CMR004"/>
    <s v="Mayo-Tsanaga"/>
    <s v="CMR004006"/>
    <s v="Koza"/>
    <s v="CMR004006004"/>
    <m/>
    <m/>
  </r>
  <r>
    <x v="5"/>
    <s v="CMR004006"/>
    <s v="Mokolo"/>
    <s v="CMR004006002"/>
    <s v="GAWAR"/>
    <s v="CMR0040060142"/>
    <s v="Host_Family"/>
    <m/>
    <s v="Conflict_ISWA"/>
    <s v="Cameroon"/>
    <s v="CMR"/>
    <s v="Extrême-Nord"/>
    <s v="CMR004"/>
    <s v="Mayo-Sava"/>
    <s v="CMR004005"/>
    <s v="Kolofata"/>
    <s v="CMR004005001"/>
    <n v="13.828327"/>
    <n v="10.510182"/>
  </r>
  <r>
    <x v="5"/>
    <s v="CMR004006"/>
    <s v="Mokolo"/>
    <s v="CMR004006002"/>
    <s v="MABAS"/>
    <s v="CMR0040060388"/>
    <s v="Host_Family"/>
    <m/>
    <s v="Conflict_ISWA"/>
    <s v="Cameroon"/>
    <s v="CMR"/>
    <s v="Extrême-Nord"/>
    <s v="CMR004"/>
    <s v="Mayo-Tsanaga"/>
    <s v="CMR004006"/>
    <s v="Koza"/>
    <s v="CMR004006004"/>
    <n v="13.655704"/>
    <n v="10.807881"/>
  </r>
  <r>
    <x v="5"/>
    <s v="CMR004006"/>
    <s v="Mokolo"/>
    <s v="CMR004006002"/>
    <s v="MAGOUMA"/>
    <s v="CMR0040060399"/>
    <s v="Host_Family"/>
    <m/>
    <s v="Conflict_ISWA"/>
    <s v="Cameroon"/>
    <s v="CMR"/>
    <s v="Extrême-Nord"/>
    <s v="CMR004"/>
    <s v="Mayo-Tsanaga"/>
    <s v="CMR004006"/>
    <s v="Mozogo"/>
    <s v="CMR004006005"/>
    <n v="13.754343"/>
    <n v="10.827814"/>
  </r>
  <r>
    <x v="5"/>
    <s v="CMR004006"/>
    <s v="Mokolo"/>
    <s v="CMR004006002"/>
    <s v="MAVOUMAY"/>
    <s v="CMR0040060425"/>
    <s v="Host_Family"/>
    <m/>
    <s v="Conflict_ISWA"/>
    <s v="Cameroon"/>
    <s v="CMR"/>
    <s v="Extrême-Nord"/>
    <s v="CMR004"/>
    <s v="Mayo-Tsanaga"/>
    <s v="CMR004006"/>
    <s v="Koza"/>
    <s v="CMR004006004"/>
    <n v="13.762404"/>
    <n v="10.758965"/>
  </r>
  <r>
    <x v="5"/>
    <s v="CMR004006"/>
    <s v="Mokolo"/>
    <s v="CMR004006002"/>
    <s v="MOKOLO"/>
    <s v="CMR0040060546"/>
    <s v="Host_Family"/>
    <m/>
    <s v="Conflict_ISWA"/>
    <s v="Cameroon"/>
    <s v="CMR"/>
    <s v="Extrême-Nord"/>
    <s v="CMR004"/>
    <s v="Mayo-Tsanaga"/>
    <s v="CMR004006"/>
    <s v="Koza"/>
    <s v="CMR004006004"/>
    <n v="13.801885"/>
    <n v="10.739782"/>
  </r>
  <r>
    <x v="5"/>
    <s v="CMR004006"/>
    <s v="Mokolo"/>
    <s v="CMR004006002"/>
    <s v="MOKONG"/>
    <s v="CMR0040060547"/>
    <s v="Host_Family"/>
    <m/>
    <s v="Conflict_ISWA"/>
    <s v="Cameroon"/>
    <s v="CMR"/>
    <s v="Extrême-Nord"/>
    <s v="CMR004"/>
    <s v="Mayo-Sava"/>
    <s v="CMR004005"/>
    <s v="Kolofata"/>
    <s v="CMR004005001"/>
    <n v="14.006542"/>
    <n v="10.59897"/>
  </r>
  <r>
    <x v="5"/>
    <s v="CMR004006"/>
    <s v="Mokolo"/>
    <s v="CMR004006002"/>
    <s v="ZAMAI"/>
    <s v="CMR0040060793"/>
    <s v="Host_Family"/>
    <m/>
    <s v="Conflict_ISWA"/>
    <s v="Cameroon"/>
    <s v="CMR"/>
    <s v="Extrême-Nord"/>
    <s v="CMR004"/>
    <s v="Mayo-Tsanaga"/>
    <s v="CMR004006"/>
    <s v="Koza"/>
    <s v="CMR004006004"/>
    <n v="13.897828000000001"/>
    <n v="10.634753999999999"/>
  </r>
  <r>
    <x v="5"/>
    <s v="CMR004006"/>
    <s v="Mozogo"/>
    <s v="CMR004006005"/>
    <s v="DZAMADZAF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Mozogo"/>
    <s v="CMR004006005"/>
    <s v="GOROKO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Mozogo"/>
    <s v="CMR004006005"/>
    <s v="KONSAMBA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Mozogo"/>
    <s v="CMR004006005"/>
    <s v="NGUETCHEWE"/>
    <m/>
    <s v="Host_Family"/>
    <m/>
    <s v="Conflict_ISWA"/>
    <s v="Cameroon"/>
    <s v="CMR"/>
    <s v="Extrême-Nord"/>
    <s v="CMR004"/>
    <s v="Mayo-Tsanaga"/>
    <s v="CMR004006"/>
    <s v="Mozogo"/>
    <s v="CMR004006005"/>
    <m/>
    <m/>
  </r>
  <r>
    <x v="5"/>
    <s v="CMR004006"/>
    <s v="Mozogo"/>
    <s v="CMR004006005"/>
    <s v="MANDOUSSA"/>
    <s v="CMR0040060413"/>
    <s v="Host_Family"/>
    <m/>
    <s v="Conflict_ISWA"/>
    <s v="Cameroon"/>
    <s v="CMR"/>
    <s v="Extrême-Nord"/>
    <s v="CMR004"/>
    <s v="Mayo-Tsanaga"/>
    <s v="CMR004006"/>
    <s v="Mozogo"/>
    <s v="CMR004006005"/>
    <n v="13.825616"/>
    <n v="10.908295000000001"/>
  </r>
  <r>
    <x v="5"/>
    <s v="CMR004006"/>
    <s v="Mozogo"/>
    <s v="CMR004006005"/>
    <s v="MAWA"/>
    <s v="CMR0040060427"/>
    <s v="Host_Family"/>
    <m/>
    <s v="Conflict_ISWA"/>
    <s v="Cameroon"/>
    <s v="CMR"/>
    <s v="Extrême-Nord"/>
    <s v="CMR004"/>
    <s v="Mayo-Tsanaga"/>
    <s v="CMR004006"/>
    <s v="Mozogo"/>
    <s v="CMR004006005"/>
    <n v="13.921112000000001"/>
    <n v="10.934810000000001"/>
  </r>
  <r>
    <x v="5"/>
    <s v="CMR004006"/>
    <s v="Mozogo"/>
    <s v="CMR004006005"/>
    <s v="MOSKOTA"/>
    <s v="CMR0040060558"/>
    <s v="Host_Family"/>
    <m/>
    <s v="Conflict_ISWA"/>
    <s v="Cameroon"/>
    <s v="CMR"/>
    <s v="Extrême-Nord"/>
    <s v="CMR004"/>
    <s v="Mayo-Tsanaga"/>
    <s v="CMR004006"/>
    <s v="Mozogo"/>
    <s v="CMR004006005"/>
    <n v="13.868566"/>
    <n v="10.962505"/>
  </r>
  <r>
    <x v="5"/>
    <s v="CMR004006"/>
    <s v="Mozogo"/>
    <s v="CMR004006005"/>
    <s v="MOZOGO"/>
    <s v="CMR0040060585"/>
    <s v="Host_Family"/>
    <m/>
    <s v="Conflict_ISWA"/>
    <s v="Cameroon"/>
    <s v="CMR"/>
    <s v="Extrême-Nord"/>
    <s v="CMR004"/>
    <s v="Mayo-Tsanaga"/>
    <s v="CMR004006"/>
    <s v="Mozogo"/>
    <s v="CMR004006005"/>
    <n v="13.906833000000001"/>
    <n v="10.965978"/>
  </r>
  <r>
    <x v="5"/>
    <s v="CMR004006"/>
    <s v="Mozogo"/>
    <s v="CMR004006005"/>
    <s v="OUZAL"/>
    <s v="CMR0040060643"/>
    <s v="Host_Family"/>
    <m/>
    <s v="Conflict_ISWA"/>
    <s v="Cameroon"/>
    <s v="CMR"/>
    <s v="Extrême-Nord"/>
    <s v="CMR004"/>
    <s v="Mayo-Tsanaga"/>
    <s v="CMR004006"/>
    <s v="Mozogo"/>
    <s v="CMR004006005"/>
    <n v="13.842622"/>
    <n v="10.922553000000001"/>
  </r>
  <r>
    <x v="5"/>
    <s v="CMR004006"/>
    <s v="Soulede-Roua"/>
    <s v="CMR004006006"/>
    <s v="BAO"/>
    <s v="CMR0040060016"/>
    <s v="Host_Family"/>
    <m/>
    <s v="Conflict_ISWA"/>
    <s v="Cameroon"/>
    <s v="CMR"/>
    <s v="Extrême-Nord"/>
    <s v="CMR004"/>
    <s v="Mayo-Sava"/>
    <s v="CMR004005"/>
    <s v="Kolofata"/>
    <s v="CMR004005001"/>
    <n v="13.923038"/>
    <n v="10.802239999999999"/>
  </r>
  <r>
    <x v="5"/>
    <s v="CMR004006"/>
    <s v="Soulede-Roua"/>
    <s v="CMR004006006"/>
    <s v="MADA"/>
    <s v="CMR0040020720"/>
    <s v="Host_Family"/>
    <m/>
    <s v="Conflict_ISWA"/>
    <s v="Cameroon"/>
    <s v="CMR"/>
    <s v="Extrême-Nord"/>
    <s v="CMR004"/>
    <s v="Mayo-Sava"/>
    <s v="CMR004005"/>
    <s v="Kolofata"/>
    <s v="CMR004005001"/>
    <n v="14.738611000000001"/>
    <n v="11.545555999999999"/>
  </r>
  <r>
    <x v="5"/>
    <s v="CMR004006"/>
    <s v="Soulede-Roua"/>
    <s v="CMR004006006"/>
    <s v="MAZAM"/>
    <s v="CMR0040060494"/>
    <s v="Host_Family"/>
    <m/>
    <s v="Conflict_ISWA"/>
    <s v="Cameroon"/>
    <s v="CMR"/>
    <s v="Extrême-Nord"/>
    <s v="CMR004"/>
    <s v="Mayo-Tsanaga"/>
    <s v="CMR004006"/>
    <s v="Mokolo"/>
    <s v="CMR004006002"/>
    <n v="13.968902999999999"/>
    <n v="10.758789"/>
  </r>
  <r>
    <x v="5"/>
    <s v="CMR004006"/>
    <s v="Soulede-Roua"/>
    <s v="CMR004006006"/>
    <s v="OUDOUMDJARAY"/>
    <s v="CMR0040060624"/>
    <s v="Host_Family"/>
    <m/>
    <s v="Conflict_ISWA"/>
    <s v="Cameroon"/>
    <s v="CMR"/>
    <s v="Extrême-Nord"/>
    <s v="CMR004"/>
    <s v="Mayo-Sava"/>
    <s v="CMR004005"/>
    <s v="Kolofata"/>
    <s v="CMR004005001"/>
    <n v="13.929561"/>
    <n v="10.787554"/>
  </r>
  <r>
    <x v="5"/>
    <s v="CMR004006"/>
    <s v="Soulede-Roua"/>
    <s v="CMR004006006"/>
    <s v="ROUA"/>
    <s v="CMR0040050307"/>
    <s v="Host_Family"/>
    <m/>
    <s v="Conflict_ISWA"/>
    <s v="Cameroon"/>
    <s v="CMR"/>
    <s v="Extrême-Nord"/>
    <s v="CMR004"/>
    <s v="Mayo-Tsanaga"/>
    <s v="CMR004006"/>
    <s v="Mozogo"/>
    <s v="CMR004006005"/>
    <n v="13.983158"/>
    <n v="10.778447"/>
  </r>
  <r>
    <x v="5"/>
    <s v="CMR004006"/>
    <s v="Soulede-Roua"/>
    <s v="CMR004006006"/>
    <s v="SOULEDE"/>
    <s v="CMR0040060722"/>
    <s v="Host_Family"/>
    <m/>
    <s v="Conflict_ISWA"/>
    <s v="Cameroon"/>
    <s v="CMR"/>
    <s v="Extrême-Nord"/>
    <s v="CMR004"/>
    <s v="Mayo-Sava"/>
    <s v="CMR004005"/>
    <s v="Kolofata"/>
    <s v="CMR004005001"/>
    <n v="13.915489000000001"/>
    <n v="10.7578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1" dataCaption="Values" grandTotalCaption="Grand Total (#)" updatedVersion="4" minRefreshableVersion="3" useAutoFormatting="1" itemPrintTitles="1" createdVersion="4" indent="0" outline="1" outlineData="1" multipleFieldFilters="0">
  <location ref="C31:F39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multipleItemSelectionAllowed="1" showAll="0">
      <items count="4">
        <item x="0"/>
        <item h="1" m="1" x="2"/>
        <item x="1"/>
        <item t="default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0"/>
  </colFields>
  <colItems count="3">
    <i>
      <x/>
    </i>
    <i>
      <x v="2"/>
    </i>
    <i t="grand">
      <x/>
    </i>
  </colItems>
  <dataFields count="1">
    <dataField name="Sum of Ind." fld="13" baseField="0" baseItem="0" numFmtId="3"/>
  </dataFields>
  <formats count="2">
    <format dxfId="78">
      <pivotArea outline="0" collapsedLevelsAreSubtotals="1" fieldPosition="0"/>
    </format>
    <format dxfId="7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31:H39" firstHeaderRow="1" firstDataRow="2" firstDataCol="1" rowPageCount="1" colPageCount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pageFields count="1">
    <pageField fld="10" item="1" hier="-1"/>
  </pageFields>
  <dataFields count="1">
    <dataField name="Sum of Ind" fld="13" baseField="0" baseItem="0" numFmtId="3"/>
  </dataFields>
  <formats count="2">
    <format dxfId="66">
      <pivotArea outline="0" collapsedLevelsAreSubtotals="1" fieldPosition="0"/>
    </format>
    <format dxfId="6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eau croisé dynamique1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2" rowHeaderCaption="Departments">
  <location ref="A4:F11" firstHeaderRow="0" firstDataRow="1" firstDataCol="1"/>
  <pivotFields count="30">
    <pivotField showAll="0"/>
    <pivotField showAll="0"/>
    <pivotField name="Department"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pontaneous" fld="19" baseField="2" baseItem="0"/>
    <dataField name="Rental" fld="27" baseField="2" baseItem="0"/>
    <dataField name="Collective Shelter" fld="21" baseField="2" baseItem="0"/>
    <dataField name="Open_Air" fld="25" baseField="2" baseItem="0"/>
    <dataField name="Host Family" fld="23" baseField="2" baseItem="0"/>
  </dataFields>
  <formats count="2">
    <format dxfId="59">
      <pivotArea outline="0" collapsedLevelsAreSubtotals="1" fieldPosition="0"/>
    </format>
    <format dxfId="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hartFormats count="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7:G51" firstHeaderRow="1" firstDataRow="2" firstDataCol="1" rowPageCount="1" colPageCount="1"/>
  <pivotFields count="25"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axis="axisRow" showAll="0">
      <items count="39">
        <item x="6"/>
        <item x="0"/>
        <item x="28"/>
        <item x="7"/>
        <item m="1" x="37"/>
        <item x="8"/>
        <item x="1"/>
        <item x="16"/>
        <item x="9"/>
        <item x="17"/>
        <item x="18"/>
        <item x="22"/>
        <item x="10"/>
        <item x="29"/>
        <item m="1" x="36"/>
        <item x="19"/>
        <item x="25"/>
        <item x="11"/>
        <item x="30"/>
        <item x="12"/>
        <item x="20"/>
        <item x="13"/>
        <item x="2"/>
        <item x="3"/>
        <item x="4"/>
        <item x="23"/>
        <item x="31"/>
        <item x="32"/>
        <item x="26"/>
        <item x="35"/>
        <item x="24"/>
        <item x="33"/>
        <item x="5"/>
        <item x="34"/>
        <item x="27"/>
        <item x="14"/>
        <item x="21"/>
        <item x="15"/>
        <item t="default"/>
      </items>
    </pivotField>
    <pivotField showAll="0"/>
    <pivotField showAll="0"/>
    <pivotField showAll="0"/>
    <pivotField axis="axisPage" multipleItemSelectionAllowed="1" showAll="0">
      <items count="4">
        <item x="0"/>
        <item h="1" m="1" x="2"/>
        <item x="1"/>
        <item t="default"/>
      </items>
    </pivotField>
    <pivotField showAll="0"/>
    <pivotField numFmtId="3" showAll="0"/>
    <pivotField dataField="1" numFmtId="3" showAll="0"/>
    <pivotField axis="axisCol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6"/>
  </rowFields>
  <rowItems count="43">
    <i>
      <x/>
    </i>
    <i r="1">
      <x v="1"/>
    </i>
    <i r="1">
      <x v="6"/>
    </i>
    <i r="1">
      <x v="22"/>
    </i>
    <i r="1">
      <x v="23"/>
    </i>
    <i r="1">
      <x v="24"/>
    </i>
    <i r="1">
      <x v="32"/>
    </i>
    <i>
      <x v="1"/>
    </i>
    <i r="1">
      <x/>
    </i>
    <i r="1">
      <x v="3"/>
    </i>
    <i r="1">
      <x v="5"/>
    </i>
    <i r="1">
      <x v="8"/>
    </i>
    <i r="1">
      <x v="12"/>
    </i>
    <i r="1">
      <x v="17"/>
    </i>
    <i r="1">
      <x v="19"/>
    </i>
    <i r="1">
      <x v="21"/>
    </i>
    <i r="1">
      <x v="35"/>
    </i>
    <i r="1">
      <x v="37"/>
    </i>
    <i>
      <x v="2"/>
    </i>
    <i r="1">
      <x v="7"/>
    </i>
    <i r="1">
      <x v="9"/>
    </i>
    <i r="1">
      <x v="10"/>
    </i>
    <i r="1">
      <x v="15"/>
    </i>
    <i r="1">
      <x v="20"/>
    </i>
    <i r="1">
      <x v="36"/>
    </i>
    <i>
      <x v="3"/>
    </i>
    <i r="1">
      <x v="11"/>
    </i>
    <i r="1">
      <x v="25"/>
    </i>
    <i r="1">
      <x v="29"/>
    </i>
    <i r="1">
      <x v="30"/>
    </i>
    <i>
      <x v="4"/>
    </i>
    <i r="1">
      <x v="16"/>
    </i>
    <i r="1">
      <x v="28"/>
    </i>
    <i r="1">
      <x v="34"/>
    </i>
    <i>
      <x v="5"/>
    </i>
    <i r="1">
      <x v="2"/>
    </i>
    <i r="1">
      <x v="13"/>
    </i>
    <i r="1">
      <x v="18"/>
    </i>
    <i r="1">
      <x v="26"/>
    </i>
    <i r="1">
      <x v="27"/>
    </i>
    <i r="1">
      <x v="31"/>
    </i>
    <i r="1">
      <x v="33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pageFields count="1">
    <pageField fld="10" hier="-1"/>
  </pageFields>
  <dataFields count="1">
    <dataField name="Sum of Ind." fld="13" baseField="0" baseItem="0" numFmtId="3"/>
  </dataFields>
  <formats count="1"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K7:O15" firstHeaderRow="1" firstDataRow="2" firstDataCol="1" rowPageCount="1" colPageCount="1"/>
  <pivotFields count="25"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3">
        <item x="0"/>
        <item h="1" m="1" x="2"/>
        <item x="1"/>
      </items>
    </pivotField>
    <pivotField axis="axisRow" showAll="0" defaultSubtotal="0">
      <items count="6">
        <item x="3"/>
        <item x="1"/>
        <item x="0"/>
        <item x="2"/>
        <item x="4"/>
        <item x="5"/>
      </items>
    </pivotField>
    <pivotField numFmtId="3" showAll="0"/>
    <pivotField dataField="1" numFmtId="3" showAll="0" defaultSubtotal="0"/>
    <pivotField axis="axisCol" showAll="0" defaultSubtotal="0">
      <items count="4">
        <item x="0"/>
        <item x="1"/>
        <item x="2"/>
        <item m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pageFields count="1">
    <pageField fld="10" hier="-1"/>
  </pageFields>
  <dataFields count="1">
    <dataField name="Sum of Ind." fld="13" baseField="0" baseItem="0" numFmtId="3"/>
  </dataFields>
  <formats count="1">
    <format dxfId="4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C91:G95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4">
        <item x="0"/>
        <item h="1" m="1" x="2"/>
        <item x="1"/>
        <item t="default"/>
      </items>
    </pivotField>
    <pivotField showAll="0"/>
    <pivotField numFmtId="3" showAll="0"/>
    <pivotField dataField="1" numFmtId="3" showAll="0"/>
    <pivotField axis="axisCol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2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 of Ind." fld="13" baseField="0" baseItem="0" numFmtId="3"/>
  </dataFields>
  <formats count="2">
    <format dxfId="51">
      <pivotArea outline="0" collapsedLevelsAreSubtotals="1" fieldPosition="0"/>
    </format>
    <format dxfId="50">
      <pivotArea type="all" dataOnly="0" outline="0" fieldPosition="0"/>
    </format>
  </formats>
  <chartFormats count="4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10" count="1" selected="0">
            <x v="2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C57:F65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multipleItemSelectionAllowed="1" showAll="0">
      <items count="4">
        <item x="0"/>
        <item x="1"/>
        <item h="1" x="2"/>
        <item t="default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um of Ind." fld="13" baseField="0" baseItem="0" numFmtId="3"/>
  </dataFields>
  <formats count="2">
    <format dxfId="53">
      <pivotArea outline="0" collapsedLevelsAreSubtotals="1" fieldPosition="0"/>
    </format>
    <format dxfId="52">
      <pivotArea type="all" dataOnly="0" outline="0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K48:O56" firstHeaderRow="1" firstDataRow="2" firstDataCol="1" rowPageCount="1" colPageCount="1"/>
  <pivotFields count="25">
    <pivotField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3">
        <item x="0"/>
        <item h="1" m="1" x="2"/>
        <item x="1"/>
      </items>
    </pivotField>
    <pivotField showAll="0" defaultSubtotal="0"/>
    <pivotField numFmtId="3" showAll="0"/>
    <pivotField dataField="1" numFmtId="3" showAll="0" defaultSubtotal="0"/>
    <pivotField axis="axisCol" showAll="0" defaultSubtotal="0">
      <items count="4">
        <item x="0"/>
        <item x="1"/>
        <item x="2"/>
        <item m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pageFields count="1">
    <pageField fld="10" hier="-1"/>
  </pageFields>
  <dataFields count="1">
    <dataField name="Sum of Ind." fld="13" baseField="0" baseItem="0" numFmtId="3"/>
  </dataFields>
  <formats count="1">
    <format dxfId="54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Households">
  <location ref="J4:M11" firstHeaderRow="0" firstDataRow="1" firstDataCol="1"/>
  <pivotFields count="30">
    <pivotField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# IDP" fld="7" baseField="2" baseItem="0"/>
    <dataField name="# Unregistered_Refugees" fld="10" baseField="2" baseItem="0"/>
    <dataField name="# Returnees" fld="13" baseField="2" baseItem="0"/>
  </dataFields>
  <formats count="5">
    <format dxfId="83">
      <pivotArea type="all" dataOnly="0" outline="0" fieldPosition="0"/>
    </format>
    <format dxfId="8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4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 rowHeaderCaption="Individuals">
  <location ref="C4:F11" firstHeaderRow="0" firstDataRow="1" firstDataCol="1"/>
  <pivotFields count="30">
    <pivotField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# IDP" fld="8" baseField="2" baseItem="0" numFmtId="3"/>
    <dataField name="# Unregistered_Refugees" fld="11" baseField="2" baseItem="0" numFmtId="3"/>
    <dataField name="# Returnees" fld="14" baseField="2" baseItem="0" numFmtId="3"/>
  </dataFields>
  <formats count="3">
    <format dxfId="86">
      <pivotArea type="all" dataOnly="0" outline="0" fieldPosition="0"/>
    </format>
    <format dxfId="8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104:O111" firstHeaderRow="1" firstDataRow="2" firstDataCol="1" rowPageCount="1" colPageCount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>
      <items count="157">
        <item x="112"/>
        <item x="111"/>
        <item x="142"/>
        <item x="51"/>
        <item x="62"/>
        <item x="134"/>
        <item x="64"/>
        <item x="83"/>
        <item x="141"/>
        <item x="61"/>
        <item x="43"/>
        <item x="137"/>
        <item x="116"/>
        <item x="67"/>
        <item x="135"/>
        <item x="2"/>
        <item x="63"/>
        <item x="5"/>
        <item x="149"/>
        <item x="150"/>
        <item x="155"/>
        <item x="136"/>
        <item x="0"/>
        <item x="65"/>
        <item x="59"/>
        <item x="132"/>
        <item x="35"/>
        <item x="124"/>
        <item x="78"/>
        <item x="84"/>
        <item x="1"/>
        <item x="53"/>
        <item x="66"/>
        <item x="82"/>
        <item x="146"/>
        <item x="8"/>
        <item x="109"/>
        <item x="113"/>
        <item x="108"/>
        <item x="3"/>
        <item x="127"/>
        <item x="140"/>
        <item x="4"/>
        <item x="117"/>
        <item x="102"/>
        <item x="6"/>
        <item x="154"/>
        <item x="129"/>
        <item x="89"/>
        <item x="128"/>
        <item x="147"/>
        <item x="79"/>
        <item x="73"/>
        <item x="7"/>
        <item x="138"/>
        <item x="145"/>
        <item x="114"/>
        <item x="151"/>
        <item x="115"/>
        <item x="133"/>
        <item x="152"/>
        <item x="50"/>
        <item x="97"/>
        <item x="46"/>
        <item x="144"/>
        <item x="139"/>
        <item x="54"/>
        <item x="85"/>
        <item x="101"/>
        <item x="126"/>
        <item x="18"/>
        <item x="143"/>
        <item x="60"/>
        <item x="58"/>
        <item x="86"/>
        <item x="90"/>
        <item x="72"/>
        <item x="47"/>
        <item x="37"/>
        <item x="122"/>
        <item x="80"/>
        <item x="49"/>
        <item x="95"/>
        <item x="106"/>
        <item x="98"/>
        <item x="45"/>
        <item x="25"/>
        <item x="27"/>
        <item x="110"/>
        <item x="24"/>
        <item x="34"/>
        <item x="48"/>
        <item x="75"/>
        <item x="71"/>
        <item x="69"/>
        <item x="23"/>
        <item x="21"/>
        <item x="94"/>
        <item x="17"/>
        <item x="92"/>
        <item x="93"/>
        <item x="99"/>
        <item x="26"/>
        <item x="20"/>
        <item x="107"/>
        <item x="68"/>
        <item x="105"/>
        <item x="91"/>
        <item x="14"/>
        <item x="153"/>
        <item x="121"/>
        <item x="29"/>
        <item x="42"/>
        <item x="74"/>
        <item x="38"/>
        <item x="104"/>
        <item x="70"/>
        <item x="10"/>
        <item x="52"/>
        <item x="103"/>
        <item x="15"/>
        <item x="130"/>
        <item x="148"/>
        <item x="32"/>
        <item x="11"/>
        <item x="33"/>
        <item x="55"/>
        <item x="119"/>
        <item x="13"/>
        <item x="57"/>
        <item x="96"/>
        <item x="9"/>
        <item x="12"/>
        <item x="88"/>
        <item x="81"/>
        <item x="16"/>
        <item x="100"/>
        <item x="28"/>
        <item x="36"/>
        <item x="118"/>
        <item x="19"/>
        <item x="40"/>
        <item x="131"/>
        <item x="120"/>
        <item x="30"/>
        <item x="22"/>
        <item x="123"/>
        <item x="87"/>
        <item x="125"/>
        <item x="44"/>
        <item x="56"/>
        <item x="77"/>
        <item x="76"/>
        <item x="31"/>
        <item x="39"/>
        <item x="41"/>
        <item t="default"/>
      </items>
    </pivotField>
    <pivotField showAll="0"/>
    <pivotField showAll="0"/>
    <pivotField showAll="0"/>
    <pivotField axis="axisCol" showAll="0">
      <items count="5">
        <item x="3"/>
        <item x="0"/>
        <item x="1"/>
        <item x="2"/>
        <item t="default"/>
      </items>
    </pivotField>
    <pivotField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7"/>
  </colFields>
  <colItems count="4">
    <i>
      <x/>
    </i>
    <i>
      <x v="2"/>
    </i>
    <i>
      <x v="3"/>
    </i>
    <i t="grand">
      <x/>
    </i>
  </colItems>
  <pageFields count="1">
    <pageField fld="10" item="2" hier="-1"/>
  </pageFields>
  <dataFields count="1">
    <dataField name="Sum of Ind" fld="13" baseField="0" baseItem="0" numFmtId="3"/>
  </dataFields>
  <formats count="2">
    <format dxfId="88">
      <pivotArea outline="0" collapsedLevelsAreSubtotals="1" fieldPosition="0"/>
    </format>
    <format dxfId="8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5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 rowHeaderCaption="Département">
  <location ref="K89:L96" firstHeaderRow="1" firstDataRow="1" firstDataCol="1"/>
  <pivotFields count="19"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/>
    <pivotField showAl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Villages" fld="4" subtotal="count" baseField="0" baseItem="0"/>
  </dataFields>
  <formats count="2">
    <format dxfId="90">
      <pivotArea type="all" dataOnly="0" outline="0" fieldPosition="0"/>
    </format>
    <format dxfId="89">
      <pivotArea type="all" dataOnly="0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C55:G101" firstHeaderRow="1" firstDataRow="2" firstDataCol="1"/>
  <pivotFields count="25"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axis="axisRow" showAll="0">
      <items count="39">
        <item x="6"/>
        <item x="0"/>
        <item x="28"/>
        <item x="7"/>
        <item x="36"/>
        <item x="8"/>
        <item x="1"/>
        <item x="16"/>
        <item x="9"/>
        <item x="17"/>
        <item x="18"/>
        <item x="22"/>
        <item x="10"/>
        <item x="29"/>
        <item x="37"/>
        <item x="19"/>
        <item x="25"/>
        <item x="11"/>
        <item x="30"/>
        <item x="12"/>
        <item x="20"/>
        <item x="13"/>
        <item x="2"/>
        <item x="3"/>
        <item x="4"/>
        <item x="23"/>
        <item x="31"/>
        <item x="32"/>
        <item x="26"/>
        <item x="35"/>
        <item x="24"/>
        <item x="33"/>
        <item x="5"/>
        <item x="34"/>
        <item x="27"/>
        <item x="14"/>
        <item x="21"/>
        <item x="15"/>
        <item t="default"/>
      </items>
    </pivotField>
    <pivotField showAll="0"/>
    <pivotField showAll="0"/>
    <pivotField showAll="0"/>
    <pivotField axis="axisCol" multipleItemSelectionAllowed="1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6"/>
  </rowFields>
  <rowItems count="45">
    <i>
      <x/>
    </i>
    <i r="1">
      <x v="1"/>
    </i>
    <i r="1">
      <x v="4"/>
    </i>
    <i r="1">
      <x v="6"/>
    </i>
    <i r="1">
      <x v="22"/>
    </i>
    <i r="1">
      <x v="23"/>
    </i>
    <i r="1">
      <x v="24"/>
    </i>
    <i r="1">
      <x v="32"/>
    </i>
    <i>
      <x v="1"/>
    </i>
    <i r="1">
      <x/>
    </i>
    <i r="1">
      <x v="3"/>
    </i>
    <i r="1">
      <x v="5"/>
    </i>
    <i r="1">
      <x v="8"/>
    </i>
    <i r="1">
      <x v="12"/>
    </i>
    <i r="1">
      <x v="17"/>
    </i>
    <i r="1">
      <x v="19"/>
    </i>
    <i r="1">
      <x v="21"/>
    </i>
    <i r="1">
      <x v="35"/>
    </i>
    <i r="1">
      <x v="37"/>
    </i>
    <i>
      <x v="2"/>
    </i>
    <i r="1">
      <x v="7"/>
    </i>
    <i r="1">
      <x v="9"/>
    </i>
    <i r="1">
      <x v="10"/>
    </i>
    <i r="1">
      <x v="15"/>
    </i>
    <i r="1">
      <x v="20"/>
    </i>
    <i r="1">
      <x v="36"/>
    </i>
    <i>
      <x v="3"/>
    </i>
    <i r="1">
      <x v="11"/>
    </i>
    <i r="1">
      <x v="14"/>
    </i>
    <i r="1">
      <x v="25"/>
    </i>
    <i r="1">
      <x v="29"/>
    </i>
    <i r="1">
      <x v="30"/>
    </i>
    <i>
      <x v="4"/>
    </i>
    <i r="1">
      <x v="16"/>
    </i>
    <i r="1">
      <x v="28"/>
    </i>
    <i r="1">
      <x v="34"/>
    </i>
    <i>
      <x v="5"/>
    </i>
    <i r="1">
      <x v="2"/>
    </i>
    <i r="1">
      <x v="13"/>
    </i>
    <i r="1">
      <x v="18"/>
    </i>
    <i r="1">
      <x v="26"/>
    </i>
    <i r="1">
      <x v="27"/>
    </i>
    <i r="1">
      <x v="31"/>
    </i>
    <i r="1">
      <x v="33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Sum of Ind" fld="13" baseField="0" baseItem="0" numFmtId="3"/>
  </dataFields>
  <formats count="35"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all" dataOnly="0" outline="0" fieldPosition="0"/>
    </format>
    <format dxfId="122">
      <pivotArea collapsedLevelsAreSubtotals="1" fieldPosition="0">
        <references count="1">
          <reference field="2" count="1">
            <x v="0"/>
          </reference>
        </references>
      </pivotArea>
    </format>
    <format dxfId="121">
      <pivotArea dataOnly="0" labelOnly="1" fieldPosition="0">
        <references count="1">
          <reference field="2" count="1">
            <x v="0"/>
          </reference>
        </references>
      </pivotArea>
    </format>
    <format dxfId="120">
      <pivotArea field="2" type="button" dataOnly="0" labelOnly="1" outline="0" axis="axisRow" fieldPosition="0"/>
    </format>
    <format dxfId="119">
      <pivotArea dataOnly="0" labelOnly="1" fieldPosition="0">
        <references count="1">
          <reference field="10" count="0"/>
        </references>
      </pivotArea>
    </format>
    <format dxfId="118">
      <pivotArea dataOnly="0" labelOnly="1" grandCol="1" outline="0" fieldPosition="0"/>
    </format>
    <format dxfId="117">
      <pivotArea collapsedLevelsAreSubtotals="1" fieldPosition="0">
        <references count="1">
          <reference field="2" count="1">
            <x v="1"/>
          </reference>
        </references>
      </pivotArea>
    </format>
    <format dxfId="116">
      <pivotArea dataOnly="0" labelOnly="1" fieldPosition="0">
        <references count="1">
          <reference field="2" count="1">
            <x v="1"/>
          </reference>
        </references>
      </pivotArea>
    </format>
    <format dxfId="115">
      <pivotArea collapsedLevelsAreSubtotals="1" fieldPosition="0">
        <references count="1">
          <reference field="2" count="1">
            <x v="2"/>
          </reference>
        </references>
      </pivotArea>
    </format>
    <format dxfId="114">
      <pivotArea dataOnly="0" labelOnly="1" fieldPosition="0">
        <references count="1">
          <reference field="2" count="1">
            <x v="2"/>
          </reference>
        </references>
      </pivotArea>
    </format>
    <format dxfId="113">
      <pivotArea collapsedLevelsAreSubtotals="1" fieldPosition="0">
        <references count="1">
          <reference field="2" count="1">
            <x v="3"/>
          </reference>
        </references>
      </pivotArea>
    </format>
    <format dxfId="112">
      <pivotArea dataOnly="0" labelOnly="1" fieldPosition="0">
        <references count="1">
          <reference field="2" count="1">
            <x v="3"/>
          </reference>
        </references>
      </pivotArea>
    </format>
    <format dxfId="111">
      <pivotArea collapsedLevelsAreSubtotals="1" fieldPosition="0">
        <references count="1">
          <reference field="2" count="1">
            <x v="4"/>
          </reference>
        </references>
      </pivotArea>
    </format>
    <format dxfId="110">
      <pivotArea dataOnly="0" labelOnly="1" fieldPosition="0">
        <references count="1">
          <reference field="2" count="1">
            <x v="4"/>
          </reference>
        </references>
      </pivotArea>
    </format>
    <format dxfId="109">
      <pivotArea collapsedLevelsAreSubtotals="1" fieldPosition="0">
        <references count="1">
          <reference field="2" count="1">
            <x v="5"/>
          </reference>
        </references>
      </pivotArea>
    </format>
    <format dxfId="108">
      <pivotArea dataOnly="0" labelOnly="1" fieldPosition="0">
        <references count="1">
          <reference field="2" count="1">
            <x v="5"/>
          </reference>
        </references>
      </pivotArea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grandRow="1" outline="0" collapsedLevelsAreSubtotals="1" fieldPosition="0"/>
    </format>
    <format dxfId="104">
      <pivotArea dataOnly="0" labelOnly="1" grandRow="1" outline="0" fieldPosition="0"/>
    </format>
    <format dxfId="103">
      <pivotArea collapsedLevelsAreSubtotals="1" fieldPosition="0">
        <references count="1">
          <reference field="2" count="1">
            <x v="5"/>
          </reference>
        </references>
      </pivotArea>
    </format>
    <format dxfId="102">
      <pivotArea dataOnly="0" labelOnly="1" fieldPosition="0">
        <references count="1">
          <reference field="2" count="1">
            <x v="5"/>
          </reference>
        </references>
      </pivotArea>
    </format>
    <format dxfId="101">
      <pivotArea collapsedLevelsAreSubtotals="1" fieldPosition="0">
        <references count="1">
          <reference field="2" count="1">
            <x v="4"/>
          </reference>
        </references>
      </pivotArea>
    </format>
    <format dxfId="100">
      <pivotArea dataOnly="0" labelOnly="1" fieldPosition="0">
        <references count="1">
          <reference field="2" count="1">
            <x v="4"/>
          </reference>
        </references>
      </pivotArea>
    </format>
    <format dxfId="99">
      <pivotArea collapsedLevelsAreSubtotals="1" fieldPosition="0">
        <references count="1">
          <reference field="2" count="1">
            <x v="3"/>
          </reference>
        </references>
      </pivotArea>
    </format>
    <format dxfId="98">
      <pivotArea dataOnly="0" labelOnly="1" fieldPosition="0">
        <references count="1">
          <reference field="2" count="1">
            <x v="3"/>
          </reference>
        </references>
      </pivotArea>
    </format>
    <format dxfId="97">
      <pivotArea collapsedLevelsAreSubtotals="1" fieldPosition="0">
        <references count="1">
          <reference field="2" count="1">
            <x v="2"/>
          </reference>
        </references>
      </pivotArea>
    </format>
    <format dxfId="96">
      <pivotArea dataOnly="0" labelOnly="1" fieldPosition="0">
        <references count="1">
          <reference field="2" count="1">
            <x v="2"/>
          </reference>
        </references>
      </pivotArea>
    </format>
    <format dxfId="95">
      <pivotArea collapsedLevelsAreSubtotals="1" fieldPosition="0">
        <references count="1">
          <reference field="2" count="1">
            <x v="1"/>
          </reference>
        </references>
      </pivotArea>
    </format>
    <format dxfId="94">
      <pivotArea dataOnly="0" labelOnly="1" fieldPosition="0">
        <references count="1">
          <reference field="2" count="1">
            <x v="1"/>
          </reference>
        </references>
      </pivotArea>
    </format>
    <format dxfId="93">
      <pivotArea collapsedLevelsAreSubtotals="1" fieldPosition="0">
        <references count="1">
          <reference field="2" count="1">
            <x v="0"/>
          </reference>
        </references>
      </pivotArea>
    </format>
    <format dxfId="92">
      <pivotArea dataOnly="0" labelOnly="1" fieldPosition="0">
        <references count="1">
          <reference field="2" count="1">
            <x v="0"/>
          </reference>
        </references>
      </pivotArea>
    </format>
    <format dxfId="91">
      <pivotArea dataOnly="0" labelOnly="1" fieldPosition="0">
        <references count="1">
          <reference field="10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0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6:J14" firstHeaderRow="1" firstDataRow="2" firstDataCol="1" rowPageCount="1" colPageCount="1"/>
  <pivotFields count="25">
    <pivotField showAll="0"/>
    <pivotField showAll="0"/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2"/>
        <item x="1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numFmtId="3" showAl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0" item="1" hier="-1"/>
  </pageFields>
  <dataFields count="1">
    <dataField name="Sum of Ind" fld="13" baseField="0" baseItem="0"/>
  </dataFields>
  <formats count="1">
    <format dxfId="6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J45:O53" firstHeaderRow="1" firstDataRow="2" firstDataCol="1" rowPageCount="1" colPageCount="1"/>
  <pivotFields count="25"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pageFields count="1">
    <pageField fld="10" item="1" hier="-1"/>
  </pageFields>
  <dataFields count="1">
    <dataField name="Sum of Ind" fld="13" baseField="0" baseItem="0" numFmtId="3"/>
  </dataFields>
  <formats count="2">
    <format dxfId="62">
      <pivotArea outline="0" collapsedLevelsAreSubtotals="1" fieldPosition="0"/>
    </format>
    <format dxfId="61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31:P39" firstHeaderRow="1" firstDataRow="2" firstDataCol="1" rowPageCount="2" colPageCount="1"/>
  <pivotFields count="25"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axis="axisRow" showAll="0">
      <items count="7">
        <item x="3"/>
        <item x="1"/>
        <item x="0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axis="axisPage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2">
    <pageField fld="10" item="1" hier="-1"/>
    <pageField fld="17" item="3" hier="-1"/>
  </pageFields>
  <dataFields count="1">
    <dataField name="Sum of Ind" fld="13" baseField="0" baseItem="0" numFmtId="3"/>
  </dataFields>
  <formats count="2">
    <format dxfId="64">
      <pivotArea outline="0" collapsedLevelsAreSubtotals="1" fieldPosition="0"/>
    </format>
    <format dxfId="6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b2f_sommaire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dp_ref_ret_avril2016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rganisations_presentes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idp_ref_ret_avril2016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eparts_avril2016_1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eparts_avril2016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2" name="Table2" displayName="Table2" ref="K55:N58" totalsRowShown="0" headerRowDxfId="76">
  <autoFilter ref="K55:N58"/>
  <tableColumns count="4">
    <tableColumn id="1" name="Individuals"/>
    <tableColumn id="2" name="IDP" dataDxfId="75"/>
    <tableColumn id="3" name="Unregistered Refugees" dataDxfId="74"/>
    <tableColumn id="4" name="Returnees" dataDxfId="7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76:N79" totalsRowShown="0">
  <autoFilter ref="K76:N79"/>
  <tableColumns count="4">
    <tableColumn id="1" name="Column1"/>
    <tableColumn id="2" name="Round 2 (Feb 2016)" dataDxfId="72"/>
    <tableColumn id="3" name="Round 3 (April 2016)" dataDxfId="71"/>
    <tableColumn id="4" name="Evolution R2/R3" dataDxfId="70">
      <calculatedColumnFormula>(Table3[[#This Row],[Round 3 (April 2016)]]-Table3[[#This Row],[Round 2 (Feb 2016)]])/Table3[[#This Row],[Round 2 (Feb 2016)]]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K81:N84" totalsRowShown="0">
  <autoFilter ref="K81:N84"/>
  <tableColumns count="4">
    <tableColumn id="1" name="Column1"/>
    <tableColumn id="2" name="Round 1 (Nov 2015)" dataDxfId="69"/>
    <tableColumn id="3" name="Round 3 (April 2016)" dataDxfId="68"/>
    <tableColumn id="4" name="Evolution R1/R3" dataDxfId="67">
      <calculatedColumnFormula>(Table35[[#This Row],[Round 3 (April 2016)]]-Table35[[#This Row],[Round 1 (Nov 2015)]])/Table35[[#This Row],[Round 1 (Nov 2015)]]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bleau1" displayName="Tableau1" ref="A1:S477" totalsRowCount="1" headerRowDxfId="57" headerRowBorderDxfId="56" tableBorderDxfId="55">
  <autoFilter ref="A1:S476"/>
  <tableColumns count="19">
    <tableColumn id="1" name="Department"/>
    <tableColumn id="2" name="Code_Department"/>
    <tableColumn id="3" name="Arrondissement"/>
    <tableColumn id="4" name="Code_Arrondissement"/>
    <tableColumn id="5" name="Name_village"/>
    <tableColumn id="6" name="Code_village"/>
    <tableColumn id="8" name="Shelter type"/>
    <tableColumn id="9" name="Name_site"/>
    <tableColumn id="10" name="Displacement_Reason"/>
    <tableColumn id="14" name="Country_of_Origin"/>
    <tableColumn id="15" name="Code_Country"/>
    <tableColumn id="16" name="Region_of-Origin"/>
    <tableColumn id="17" name="Code_region"/>
    <tableColumn id="18" name="Department_of_Origin"/>
    <tableColumn id="19" name="Code_Department2"/>
    <tableColumn id="20" name="Arrondissement_of_Origin"/>
    <tableColumn id="21" name="Code_Arrondissement3"/>
    <tableColumn id="22" name="Longitude_Village"/>
    <tableColumn id="23" name="Latitude_Vill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3.xml"/><Relationship Id="rId4" Type="http://schemas.openxmlformats.org/officeDocument/2006/relationships/pivotTable" Target="../pivotTables/pivotTable4.xml"/><Relationship Id="rId9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openxmlformats.org/officeDocument/2006/relationships/drawing" Target="../drawings/drawing3.xml"/><Relationship Id="rId4" Type="http://schemas.openxmlformats.org/officeDocument/2006/relationships/pivotTable" Target="../pivotTables/pivot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4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drawing" Target="../drawings/drawing5.xml"/><Relationship Id="rId5" Type="http://schemas.openxmlformats.org/officeDocument/2006/relationships/pivotTable" Target="../pivotTables/pivotTable16.xml"/><Relationship Id="rId4" Type="http://schemas.openxmlformats.org/officeDocument/2006/relationships/pivotTable" Target="../pivotTables/pivotTable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55" zoomScaleNormal="55" workbookViewId="0">
      <selection activeCell="AF27" sqref="AF27"/>
    </sheetView>
  </sheetViews>
  <sheetFormatPr defaultRowHeight="15"/>
  <cols>
    <col min="1" max="1" width="18.42578125" customWidth="1"/>
    <col min="2" max="2" width="11.85546875" bestFit="1" customWidth="1"/>
    <col min="5" max="5" width="15.42578125" bestFit="1" customWidth="1"/>
    <col min="6" max="6" width="14.140625" bestFit="1" customWidth="1"/>
  </cols>
  <sheetData>
    <row r="1" spans="1:30">
      <c r="A1" s="76" t="s">
        <v>44</v>
      </c>
      <c r="B1" s="77" t="s">
        <v>41</v>
      </c>
      <c r="C1" s="77" t="s">
        <v>1056</v>
      </c>
      <c r="D1" s="77" t="s">
        <v>39</v>
      </c>
      <c r="E1" s="77" t="s">
        <v>0</v>
      </c>
      <c r="F1" s="77" t="s">
        <v>40</v>
      </c>
      <c r="G1" s="77" t="s">
        <v>1</v>
      </c>
      <c r="H1" s="77" t="s">
        <v>1134</v>
      </c>
      <c r="I1" s="77" t="s">
        <v>1135</v>
      </c>
      <c r="J1" s="77" t="s">
        <v>1133</v>
      </c>
      <c r="K1" s="77" t="s">
        <v>1136</v>
      </c>
      <c r="L1" s="78" t="s">
        <v>1137</v>
      </c>
      <c r="M1" s="78" t="s">
        <v>1066</v>
      </c>
      <c r="N1" s="77" t="s">
        <v>1138</v>
      </c>
      <c r="O1" s="77" t="s">
        <v>1139</v>
      </c>
      <c r="P1" s="77" t="s">
        <v>1140</v>
      </c>
      <c r="Q1" s="77" t="s">
        <v>1141</v>
      </c>
      <c r="R1" s="77" t="s">
        <v>1142</v>
      </c>
      <c r="S1" s="77" t="s">
        <v>1143</v>
      </c>
      <c r="T1" s="77" t="s">
        <v>1144</v>
      </c>
      <c r="U1" s="77" t="s">
        <v>1145</v>
      </c>
      <c r="V1" s="77" t="s">
        <v>1146</v>
      </c>
      <c r="W1" s="77" t="s">
        <v>1147</v>
      </c>
      <c r="X1" s="77" t="s">
        <v>1148</v>
      </c>
      <c r="Y1" s="77" t="s">
        <v>1149</v>
      </c>
      <c r="Z1" s="77" t="s">
        <v>1150</v>
      </c>
      <c r="AA1" s="77" t="s">
        <v>1151</v>
      </c>
      <c r="AB1" s="77" t="s">
        <v>1152</v>
      </c>
      <c r="AC1" s="77" t="s">
        <v>1153</v>
      </c>
      <c r="AD1" s="77" t="s">
        <v>1154</v>
      </c>
    </row>
    <row r="2" spans="1:30">
      <c r="A2" s="36" t="s">
        <v>409</v>
      </c>
      <c r="B2" s="4" t="s">
        <v>141</v>
      </c>
      <c r="C2" s="4" t="s">
        <v>11</v>
      </c>
      <c r="D2" s="4" t="s">
        <v>144</v>
      </c>
      <c r="E2" s="4" t="s">
        <v>24</v>
      </c>
      <c r="F2" s="4" t="s">
        <v>151</v>
      </c>
      <c r="G2" s="4" t="s">
        <v>1183</v>
      </c>
      <c r="H2" s="7">
        <v>71</v>
      </c>
      <c r="I2" s="7">
        <v>365</v>
      </c>
      <c r="J2" s="7" t="s">
        <v>1184</v>
      </c>
      <c r="K2" s="7"/>
      <c r="L2" s="7"/>
      <c r="M2" s="7" t="s">
        <v>1184</v>
      </c>
      <c r="N2" s="7"/>
      <c r="O2" s="7"/>
      <c r="P2" s="7" t="s">
        <v>1184</v>
      </c>
      <c r="Q2" s="7"/>
      <c r="R2" s="7"/>
      <c r="S2" s="7" t="s">
        <v>1184</v>
      </c>
      <c r="T2" s="7"/>
      <c r="U2" s="7" t="s">
        <v>1184</v>
      </c>
      <c r="V2" s="7"/>
      <c r="W2" s="7" t="s">
        <v>1184</v>
      </c>
      <c r="X2" s="7"/>
      <c r="Y2" s="7" t="s">
        <v>1184</v>
      </c>
      <c r="Z2" s="7"/>
      <c r="AA2" s="7" t="s">
        <v>1183</v>
      </c>
      <c r="AB2" s="7">
        <v>71</v>
      </c>
      <c r="AC2" s="7">
        <v>24</v>
      </c>
      <c r="AD2" s="168">
        <v>120</v>
      </c>
    </row>
    <row r="3" spans="1:30">
      <c r="A3" s="23" t="s">
        <v>409</v>
      </c>
      <c r="B3" s="4" t="s">
        <v>141</v>
      </c>
      <c r="C3" s="4" t="s">
        <v>11</v>
      </c>
      <c r="D3" s="4" t="s">
        <v>144</v>
      </c>
      <c r="E3" s="4" t="s">
        <v>34</v>
      </c>
      <c r="F3" s="4" t="s">
        <v>150</v>
      </c>
      <c r="G3" s="4" t="s">
        <v>1183</v>
      </c>
      <c r="H3" s="7">
        <v>40</v>
      </c>
      <c r="I3" s="195">
        <v>270</v>
      </c>
      <c r="J3" s="7" t="s">
        <v>1184</v>
      </c>
      <c r="K3" s="7"/>
      <c r="L3" s="7"/>
      <c r="M3" s="7" t="s">
        <v>1184</v>
      </c>
      <c r="N3" s="7"/>
      <c r="O3" s="7"/>
      <c r="P3" s="7" t="s">
        <v>1184</v>
      </c>
      <c r="Q3" s="7"/>
      <c r="R3" s="7"/>
      <c r="S3" s="7" t="s">
        <v>1184</v>
      </c>
      <c r="T3" s="7"/>
      <c r="U3" s="7" t="s">
        <v>1184</v>
      </c>
      <c r="V3" s="7"/>
      <c r="W3" s="7" t="s">
        <v>1184</v>
      </c>
      <c r="X3" s="7"/>
      <c r="Y3" s="7" t="s">
        <v>1184</v>
      </c>
      <c r="Z3" s="7"/>
      <c r="AA3" s="7" t="s">
        <v>1183</v>
      </c>
      <c r="AB3" s="7">
        <v>40</v>
      </c>
      <c r="AC3" s="7">
        <v>7</v>
      </c>
      <c r="AD3" s="168">
        <v>40</v>
      </c>
    </row>
    <row r="4" spans="1:30">
      <c r="A4" s="23" t="s">
        <v>409</v>
      </c>
      <c r="B4" s="4" t="s">
        <v>141</v>
      </c>
      <c r="C4" s="4" t="s">
        <v>11</v>
      </c>
      <c r="D4" s="4" t="s">
        <v>144</v>
      </c>
      <c r="E4" s="4" t="s">
        <v>133</v>
      </c>
      <c r="F4" s="4" t="s">
        <v>152</v>
      </c>
      <c r="G4" s="4" t="s">
        <v>1183</v>
      </c>
      <c r="H4" s="7">
        <v>386</v>
      </c>
      <c r="I4" s="7">
        <v>2696</v>
      </c>
      <c r="J4" s="7" t="s">
        <v>1184</v>
      </c>
      <c r="K4" s="7"/>
      <c r="L4" s="7"/>
      <c r="M4" s="7" t="s">
        <v>1184</v>
      </c>
      <c r="N4" s="7"/>
      <c r="O4" s="7"/>
      <c r="P4" s="7" t="s">
        <v>1184</v>
      </c>
      <c r="Q4" s="7"/>
      <c r="R4" s="7"/>
      <c r="S4" s="7" t="s">
        <v>1184</v>
      </c>
      <c r="T4" s="7"/>
      <c r="U4" s="7" t="s">
        <v>1184</v>
      </c>
      <c r="V4" s="7"/>
      <c r="W4" s="7" t="s">
        <v>1183</v>
      </c>
      <c r="X4" s="7">
        <v>55</v>
      </c>
      <c r="Y4" s="7" t="s">
        <v>1184</v>
      </c>
      <c r="Z4" s="7"/>
      <c r="AA4" s="7" t="s">
        <v>1183</v>
      </c>
      <c r="AB4" s="7">
        <v>235</v>
      </c>
      <c r="AC4" s="7"/>
      <c r="AD4" s="168"/>
    </row>
    <row r="5" spans="1:30">
      <c r="A5" s="23" t="s">
        <v>409</v>
      </c>
      <c r="B5" s="4" t="s">
        <v>141</v>
      </c>
      <c r="C5" s="4" t="s">
        <v>11</v>
      </c>
      <c r="D5" s="4" t="s">
        <v>144</v>
      </c>
      <c r="E5" s="4" t="s">
        <v>12</v>
      </c>
      <c r="F5" s="4" t="s">
        <v>154</v>
      </c>
      <c r="G5" s="4" t="s">
        <v>1184</v>
      </c>
      <c r="H5" s="7"/>
      <c r="I5" s="7"/>
      <c r="J5" s="7" t="s">
        <v>1184</v>
      </c>
      <c r="K5" s="7"/>
      <c r="L5" s="7"/>
      <c r="M5" s="7" t="s">
        <v>1183</v>
      </c>
      <c r="N5" s="7">
        <v>31</v>
      </c>
      <c r="O5" s="7">
        <v>168</v>
      </c>
      <c r="P5" s="7" t="s">
        <v>1183</v>
      </c>
      <c r="Q5" s="7">
        <v>2</v>
      </c>
      <c r="R5" s="7">
        <v>13</v>
      </c>
      <c r="S5" s="7" t="s">
        <v>1184</v>
      </c>
      <c r="T5" s="7"/>
      <c r="U5" s="7" t="s">
        <v>1184</v>
      </c>
      <c r="V5" s="7"/>
      <c r="W5" s="7" t="s">
        <v>1183</v>
      </c>
      <c r="X5" s="7">
        <v>31</v>
      </c>
      <c r="Y5" s="7" t="s">
        <v>1184</v>
      </c>
      <c r="Z5" s="7"/>
      <c r="AA5" s="7" t="s">
        <v>1184</v>
      </c>
      <c r="AB5" s="7"/>
      <c r="AC5" s="7"/>
      <c r="AD5" s="168"/>
    </row>
    <row r="6" spans="1:30">
      <c r="A6" s="23" t="s">
        <v>409</v>
      </c>
      <c r="B6" s="4" t="s">
        <v>141</v>
      </c>
      <c r="C6" s="4" t="s">
        <v>11</v>
      </c>
      <c r="D6" s="4" t="s">
        <v>144</v>
      </c>
      <c r="E6" s="4" t="s">
        <v>26</v>
      </c>
      <c r="F6" s="4" t="s">
        <v>153</v>
      </c>
      <c r="G6" s="4" t="s">
        <v>1183</v>
      </c>
      <c r="H6" s="7">
        <v>10</v>
      </c>
      <c r="I6" s="7">
        <v>57</v>
      </c>
      <c r="J6" s="7" t="s">
        <v>1184</v>
      </c>
      <c r="K6" s="7"/>
      <c r="L6" s="7"/>
      <c r="M6" s="7" t="s">
        <v>1184</v>
      </c>
      <c r="N6" s="7"/>
      <c r="O6" s="7"/>
      <c r="P6" s="7" t="s">
        <v>1184</v>
      </c>
      <c r="Q6" s="7"/>
      <c r="R6" s="7"/>
      <c r="S6" s="7" t="s">
        <v>1184</v>
      </c>
      <c r="T6" s="7"/>
      <c r="U6" s="7" t="s">
        <v>1184</v>
      </c>
      <c r="V6" s="7"/>
      <c r="W6" s="7" t="s">
        <v>1183</v>
      </c>
      <c r="X6" s="7">
        <v>10</v>
      </c>
      <c r="Y6" s="7" t="s">
        <v>1184</v>
      </c>
      <c r="Z6" s="7"/>
      <c r="AA6" s="7" t="s">
        <v>1184</v>
      </c>
      <c r="AB6" s="7"/>
      <c r="AC6" s="7"/>
      <c r="AD6" s="168"/>
    </row>
    <row r="7" spans="1:30">
      <c r="A7" s="23" t="s">
        <v>409</v>
      </c>
      <c r="B7" s="4" t="s">
        <v>141</v>
      </c>
      <c r="C7" s="4" t="s">
        <v>11</v>
      </c>
      <c r="D7" s="4" t="s">
        <v>144</v>
      </c>
      <c r="E7" s="4" t="s">
        <v>23</v>
      </c>
      <c r="F7" s="4" t="s">
        <v>155</v>
      </c>
      <c r="G7" s="4" t="s">
        <v>1183</v>
      </c>
      <c r="H7" s="7">
        <v>20</v>
      </c>
      <c r="I7" s="7">
        <v>105</v>
      </c>
      <c r="J7" s="7" t="s">
        <v>1184</v>
      </c>
      <c r="K7" s="7"/>
      <c r="L7" s="7"/>
      <c r="M7" s="7" t="s">
        <v>1184</v>
      </c>
      <c r="N7" s="7"/>
      <c r="O7" s="7"/>
      <c r="P7" s="7" t="s">
        <v>1184</v>
      </c>
      <c r="Q7" s="7"/>
      <c r="R7" s="7"/>
      <c r="S7" s="7" t="s">
        <v>1184</v>
      </c>
      <c r="T7" s="7"/>
      <c r="U7" s="7" t="s">
        <v>1184</v>
      </c>
      <c r="V7" s="7"/>
      <c r="W7" s="7" t="s">
        <v>1184</v>
      </c>
      <c r="X7" s="7"/>
      <c r="Y7" s="7" t="s">
        <v>1183</v>
      </c>
      <c r="Z7" s="7">
        <v>20</v>
      </c>
      <c r="AA7" s="7" t="s">
        <v>1184</v>
      </c>
      <c r="AB7" s="7"/>
      <c r="AC7" s="7"/>
      <c r="AD7" s="168"/>
    </row>
    <row r="8" spans="1:30">
      <c r="A8" s="23" t="s">
        <v>409</v>
      </c>
      <c r="B8" s="4" t="s">
        <v>141</v>
      </c>
      <c r="C8" s="4" t="s">
        <v>11</v>
      </c>
      <c r="D8" s="4" t="s">
        <v>144</v>
      </c>
      <c r="E8" s="4" t="s">
        <v>30</v>
      </c>
      <c r="F8" s="4" t="s">
        <v>156</v>
      </c>
      <c r="G8" s="4" t="s">
        <v>1183</v>
      </c>
      <c r="H8" s="7">
        <v>17</v>
      </c>
      <c r="I8" s="7">
        <v>117</v>
      </c>
      <c r="J8" s="7" t="s">
        <v>1184</v>
      </c>
      <c r="K8" s="7"/>
      <c r="L8" s="7"/>
      <c r="M8" s="7" t="s">
        <v>1184</v>
      </c>
      <c r="N8" s="7"/>
      <c r="O8" s="7"/>
      <c r="P8" s="7" t="s">
        <v>1184</v>
      </c>
      <c r="Q8" s="7"/>
      <c r="R8" s="7"/>
      <c r="S8" s="7" t="s">
        <v>1184</v>
      </c>
      <c r="T8" s="7"/>
      <c r="U8" s="7" t="s">
        <v>1184</v>
      </c>
      <c r="V8" s="7"/>
      <c r="W8" s="7" t="s">
        <v>1184</v>
      </c>
      <c r="X8" s="7"/>
      <c r="Y8" s="7" t="s">
        <v>1184</v>
      </c>
      <c r="Z8" s="7"/>
      <c r="AA8" s="7" t="s">
        <v>1183</v>
      </c>
      <c r="AB8" s="7">
        <v>17</v>
      </c>
      <c r="AC8" s="7"/>
      <c r="AD8" s="168"/>
    </row>
    <row r="9" spans="1:30">
      <c r="A9" s="23" t="s">
        <v>409</v>
      </c>
      <c r="B9" s="4" t="s">
        <v>141</v>
      </c>
      <c r="C9" s="4" t="s">
        <v>11</v>
      </c>
      <c r="D9" s="4" t="s">
        <v>144</v>
      </c>
      <c r="E9" s="4" t="s">
        <v>37</v>
      </c>
      <c r="F9" s="4" t="s">
        <v>188</v>
      </c>
      <c r="G9" s="4" t="s">
        <v>1184</v>
      </c>
      <c r="H9" s="7"/>
      <c r="I9" s="7"/>
      <c r="J9" s="7" t="s">
        <v>1184</v>
      </c>
      <c r="K9" s="7"/>
      <c r="L9" s="7"/>
      <c r="M9" s="7" t="s">
        <v>1184</v>
      </c>
      <c r="N9" s="7"/>
      <c r="O9" s="7"/>
      <c r="P9" s="7" t="s">
        <v>1184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68"/>
    </row>
    <row r="10" spans="1:30">
      <c r="A10" s="23" t="s">
        <v>409</v>
      </c>
      <c r="B10" s="4" t="s">
        <v>141</v>
      </c>
      <c r="C10" s="4" t="s">
        <v>7</v>
      </c>
      <c r="D10" s="4" t="s">
        <v>145</v>
      </c>
      <c r="E10" s="4" t="s">
        <v>25</v>
      </c>
      <c r="F10" s="4" t="s">
        <v>159</v>
      </c>
      <c r="G10" s="4" t="s">
        <v>1183</v>
      </c>
      <c r="H10" s="7">
        <v>333</v>
      </c>
      <c r="I10" s="7">
        <v>1665</v>
      </c>
      <c r="J10" s="7" t="s">
        <v>1183</v>
      </c>
      <c r="K10" s="7">
        <v>376</v>
      </c>
      <c r="L10" s="7">
        <v>1880</v>
      </c>
      <c r="M10" s="7" t="s">
        <v>1183</v>
      </c>
      <c r="N10" s="7">
        <v>15</v>
      </c>
      <c r="O10" s="7">
        <v>75</v>
      </c>
      <c r="P10" s="7" t="s">
        <v>1183</v>
      </c>
      <c r="Q10" s="7">
        <v>4</v>
      </c>
      <c r="R10" s="7">
        <v>20</v>
      </c>
      <c r="S10" s="7" t="s">
        <v>1183</v>
      </c>
      <c r="T10" s="7">
        <v>508</v>
      </c>
      <c r="U10" s="7" t="s">
        <v>1184</v>
      </c>
      <c r="V10" s="7"/>
      <c r="W10" s="7" t="s">
        <v>1183</v>
      </c>
      <c r="X10" s="7">
        <v>179</v>
      </c>
      <c r="Y10" s="7" t="s">
        <v>1184</v>
      </c>
      <c r="Z10" s="7"/>
      <c r="AA10" s="7" t="s">
        <v>1183</v>
      </c>
      <c r="AB10" s="7">
        <v>22</v>
      </c>
      <c r="AC10" s="7"/>
      <c r="AD10" s="168"/>
    </row>
    <row r="11" spans="1:30">
      <c r="A11" s="23" t="s">
        <v>409</v>
      </c>
      <c r="B11" s="4" t="s">
        <v>141</v>
      </c>
      <c r="C11" s="4" t="s">
        <v>7</v>
      </c>
      <c r="D11" s="4" t="s">
        <v>145</v>
      </c>
      <c r="E11" s="4" t="s">
        <v>19</v>
      </c>
      <c r="F11" s="4" t="s">
        <v>157</v>
      </c>
      <c r="G11" s="4" t="s">
        <v>1183</v>
      </c>
      <c r="H11" s="7">
        <v>467</v>
      </c>
      <c r="I11" s="7">
        <v>2229</v>
      </c>
      <c r="J11" s="7" t="s">
        <v>1184</v>
      </c>
      <c r="K11" s="7"/>
      <c r="L11" s="7"/>
      <c r="M11" s="7" t="s">
        <v>1184</v>
      </c>
      <c r="N11" s="7"/>
      <c r="O11" s="7"/>
      <c r="P11" s="7" t="s">
        <v>1184</v>
      </c>
      <c r="Q11" s="7"/>
      <c r="R11" s="7"/>
      <c r="S11" s="7" t="s">
        <v>1184</v>
      </c>
      <c r="T11" s="7"/>
      <c r="U11" s="7" t="s">
        <v>1184</v>
      </c>
      <c r="V11" s="7"/>
      <c r="W11" s="7" t="s">
        <v>1183</v>
      </c>
      <c r="X11" s="7">
        <v>458</v>
      </c>
      <c r="Y11" s="7" t="s">
        <v>1184</v>
      </c>
      <c r="Z11" s="7"/>
      <c r="AA11" s="7" t="s">
        <v>1183</v>
      </c>
      <c r="AB11" s="7">
        <v>9</v>
      </c>
      <c r="AC11" s="7"/>
      <c r="AD11" s="168"/>
    </row>
    <row r="12" spans="1:30">
      <c r="A12" s="23" t="s">
        <v>409</v>
      </c>
      <c r="B12" s="4" t="s">
        <v>141</v>
      </c>
      <c r="C12" s="4" t="s">
        <v>7</v>
      </c>
      <c r="D12" s="4" t="s">
        <v>145</v>
      </c>
      <c r="E12" s="4" t="s">
        <v>18</v>
      </c>
      <c r="F12" s="4" t="s">
        <v>158</v>
      </c>
      <c r="G12" s="4" t="s">
        <v>1183</v>
      </c>
      <c r="H12" s="7">
        <v>984</v>
      </c>
      <c r="I12" s="7">
        <v>6888</v>
      </c>
      <c r="J12" s="7" t="s">
        <v>1184</v>
      </c>
      <c r="K12" s="7"/>
      <c r="L12" s="7"/>
      <c r="M12" s="7" t="s">
        <v>1183</v>
      </c>
      <c r="N12" s="7">
        <v>58</v>
      </c>
      <c r="O12" s="7">
        <v>406</v>
      </c>
      <c r="P12" s="7" t="s">
        <v>1184</v>
      </c>
      <c r="Q12" s="7"/>
      <c r="R12" s="7"/>
      <c r="S12" s="7" t="s">
        <v>1183</v>
      </c>
      <c r="T12" s="7">
        <v>186</v>
      </c>
      <c r="U12" s="7" t="s">
        <v>1184</v>
      </c>
      <c r="V12" s="7"/>
      <c r="W12" s="7" t="s">
        <v>1183</v>
      </c>
      <c r="X12" s="7">
        <v>563</v>
      </c>
      <c r="Y12" s="7" t="s">
        <v>1184</v>
      </c>
      <c r="Z12" s="7"/>
      <c r="AA12" s="7" t="s">
        <v>1183</v>
      </c>
      <c r="AB12" s="7">
        <v>235</v>
      </c>
      <c r="AC12" s="7"/>
      <c r="AD12" s="168"/>
    </row>
    <row r="13" spans="1:30">
      <c r="A13" s="23" t="s">
        <v>409</v>
      </c>
      <c r="B13" s="4" t="s">
        <v>141</v>
      </c>
      <c r="C13" s="4" t="s">
        <v>7</v>
      </c>
      <c r="D13" s="4" t="s">
        <v>145</v>
      </c>
      <c r="E13" s="4" t="s">
        <v>32</v>
      </c>
      <c r="F13" s="4" t="s">
        <v>162</v>
      </c>
      <c r="G13" s="4" t="s">
        <v>1183</v>
      </c>
      <c r="H13" s="7">
        <v>982</v>
      </c>
      <c r="I13" s="7">
        <v>6933</v>
      </c>
      <c r="J13" s="7" t="s">
        <v>1184</v>
      </c>
      <c r="K13" s="7"/>
      <c r="L13" s="7"/>
      <c r="M13" s="7" t="s">
        <v>1183</v>
      </c>
      <c r="N13" s="7">
        <v>88</v>
      </c>
      <c r="O13" s="7">
        <v>490</v>
      </c>
      <c r="P13" s="7" t="s">
        <v>1183</v>
      </c>
      <c r="Q13" s="7">
        <v>14</v>
      </c>
      <c r="R13" s="7">
        <v>77</v>
      </c>
      <c r="S13" s="7" t="s">
        <v>1183</v>
      </c>
      <c r="T13" s="7">
        <v>486</v>
      </c>
      <c r="U13" s="7" t="s">
        <v>1184</v>
      </c>
      <c r="V13" s="7"/>
      <c r="W13" s="7" t="s">
        <v>1183</v>
      </c>
      <c r="X13" s="7">
        <v>496</v>
      </c>
      <c r="Y13" s="7" t="s">
        <v>1184</v>
      </c>
      <c r="Z13" s="7"/>
      <c r="AA13" s="7" t="s">
        <v>1184</v>
      </c>
      <c r="AB13" s="7"/>
      <c r="AC13" s="7"/>
      <c r="AD13" s="168"/>
    </row>
    <row r="14" spans="1:30">
      <c r="A14" s="23" t="s">
        <v>409</v>
      </c>
      <c r="B14" s="4" t="s">
        <v>141</v>
      </c>
      <c r="C14" s="4" t="s">
        <v>7</v>
      </c>
      <c r="D14" s="4" t="s">
        <v>145</v>
      </c>
      <c r="E14" s="4" t="s">
        <v>9</v>
      </c>
      <c r="F14" s="4" t="s">
        <v>160</v>
      </c>
      <c r="G14" s="4" t="s">
        <v>1183</v>
      </c>
      <c r="H14" s="7">
        <v>1715</v>
      </c>
      <c r="I14" s="7">
        <v>8575</v>
      </c>
      <c r="J14" s="7" t="s">
        <v>1184</v>
      </c>
      <c r="K14" s="7"/>
      <c r="L14" s="7"/>
      <c r="M14" s="7" t="s">
        <v>1183</v>
      </c>
      <c r="N14" s="7">
        <v>1610</v>
      </c>
      <c r="O14" s="7">
        <v>8050</v>
      </c>
      <c r="P14" s="7" t="s">
        <v>1183</v>
      </c>
      <c r="Q14" s="7">
        <v>105</v>
      </c>
      <c r="R14" s="7">
        <v>525</v>
      </c>
      <c r="S14" s="7" t="s">
        <v>1184</v>
      </c>
      <c r="T14" s="7"/>
      <c r="U14" s="7" t="s">
        <v>1184</v>
      </c>
      <c r="V14" s="7"/>
      <c r="W14" s="7" t="s">
        <v>1183</v>
      </c>
      <c r="X14" s="7">
        <v>1700</v>
      </c>
      <c r="Y14" s="7" t="s">
        <v>1184</v>
      </c>
      <c r="Z14" s="7"/>
      <c r="AA14" s="7" t="s">
        <v>1183</v>
      </c>
      <c r="AB14" s="7">
        <v>15</v>
      </c>
      <c r="AC14" s="7"/>
      <c r="AD14" s="168"/>
    </row>
    <row r="15" spans="1:30">
      <c r="A15" s="23" t="s">
        <v>409</v>
      </c>
      <c r="B15" s="4" t="s">
        <v>141</v>
      </c>
      <c r="C15" s="4" t="s">
        <v>7</v>
      </c>
      <c r="D15" s="4" t="s">
        <v>145</v>
      </c>
      <c r="E15" s="4" t="s">
        <v>134</v>
      </c>
      <c r="F15" s="4" t="s">
        <v>161</v>
      </c>
      <c r="G15" s="4" t="s">
        <v>1183</v>
      </c>
      <c r="H15" s="7">
        <v>3777</v>
      </c>
      <c r="I15" s="7">
        <v>18885</v>
      </c>
      <c r="J15" s="7" t="s">
        <v>1184</v>
      </c>
      <c r="K15" s="7"/>
      <c r="L15" s="7"/>
      <c r="M15" s="7" t="s">
        <v>1184</v>
      </c>
      <c r="N15" s="7"/>
      <c r="O15" s="7"/>
      <c r="P15" s="7" t="s">
        <v>1184</v>
      </c>
      <c r="Q15" s="7"/>
      <c r="R15" s="7"/>
      <c r="S15" s="7" t="s">
        <v>1184</v>
      </c>
      <c r="T15" s="7"/>
      <c r="U15" s="7" t="s">
        <v>1184</v>
      </c>
      <c r="V15" s="7"/>
      <c r="W15" s="7" t="s">
        <v>1183</v>
      </c>
      <c r="X15" s="7">
        <v>2762</v>
      </c>
      <c r="Y15" s="7" t="s">
        <v>1184</v>
      </c>
      <c r="Z15" s="7"/>
      <c r="AA15" s="7" t="s">
        <v>1183</v>
      </c>
      <c r="AB15" s="7">
        <v>1015</v>
      </c>
      <c r="AC15" s="7"/>
      <c r="AD15" s="168"/>
    </row>
    <row r="16" spans="1:30">
      <c r="A16" s="23" t="s">
        <v>409</v>
      </c>
      <c r="B16" s="4" t="s">
        <v>141</v>
      </c>
      <c r="C16" s="4" t="s">
        <v>7</v>
      </c>
      <c r="D16" s="4" t="s">
        <v>145</v>
      </c>
      <c r="E16" s="4" t="s">
        <v>15</v>
      </c>
      <c r="F16" s="4" t="s">
        <v>163</v>
      </c>
      <c r="G16" s="4" t="s">
        <v>1183</v>
      </c>
      <c r="H16" s="7">
        <v>2024</v>
      </c>
      <c r="I16" s="7">
        <v>10120</v>
      </c>
      <c r="J16" s="7" t="s">
        <v>1184</v>
      </c>
      <c r="K16" s="7"/>
      <c r="L16" s="7"/>
      <c r="M16" s="7" t="s">
        <v>1184</v>
      </c>
      <c r="N16" s="7"/>
      <c r="O16" s="7"/>
      <c r="P16" s="7" t="s">
        <v>1183</v>
      </c>
      <c r="Q16" s="7">
        <v>37</v>
      </c>
      <c r="R16" s="7">
        <v>185</v>
      </c>
      <c r="S16" s="7" t="s">
        <v>1184</v>
      </c>
      <c r="T16" s="7"/>
      <c r="U16" s="7" t="s">
        <v>1184</v>
      </c>
      <c r="V16" s="7"/>
      <c r="W16" s="7" t="s">
        <v>1183</v>
      </c>
      <c r="X16" s="7">
        <v>1953</v>
      </c>
      <c r="Y16" s="7" t="s">
        <v>1184</v>
      </c>
      <c r="Z16" s="7"/>
      <c r="AA16" s="7" t="s">
        <v>1183</v>
      </c>
      <c r="AB16" s="7">
        <v>71</v>
      </c>
      <c r="AC16" s="7"/>
      <c r="AD16" s="168"/>
    </row>
    <row r="17" spans="1:30">
      <c r="A17" s="23" t="s">
        <v>409</v>
      </c>
      <c r="B17" s="4" t="s">
        <v>141</v>
      </c>
      <c r="C17" s="4" t="s">
        <v>7</v>
      </c>
      <c r="D17" s="4" t="s">
        <v>145</v>
      </c>
      <c r="E17" s="4" t="s">
        <v>21</v>
      </c>
      <c r="F17" s="4" t="s">
        <v>164</v>
      </c>
      <c r="G17" s="4" t="s">
        <v>1183</v>
      </c>
      <c r="H17" s="7">
        <v>2270</v>
      </c>
      <c r="I17" s="7">
        <v>11350</v>
      </c>
      <c r="J17" s="7" t="s">
        <v>1183</v>
      </c>
      <c r="K17" s="7">
        <v>1000</v>
      </c>
      <c r="L17" s="7">
        <v>5000</v>
      </c>
      <c r="M17" s="7" t="s">
        <v>1183</v>
      </c>
      <c r="N17" s="7">
        <v>2028</v>
      </c>
      <c r="O17" s="7">
        <v>10140</v>
      </c>
      <c r="P17" s="7" t="s">
        <v>1183</v>
      </c>
      <c r="Q17" s="7">
        <v>2100</v>
      </c>
      <c r="R17" s="7">
        <v>10500</v>
      </c>
      <c r="S17" s="7" t="s">
        <v>1183</v>
      </c>
      <c r="T17" s="7">
        <v>2088</v>
      </c>
      <c r="U17" s="7" t="s">
        <v>1184</v>
      </c>
      <c r="V17" s="7"/>
      <c r="W17" s="7" t="s">
        <v>1183</v>
      </c>
      <c r="X17" s="7">
        <v>423</v>
      </c>
      <c r="Y17" s="7" t="s">
        <v>1183</v>
      </c>
      <c r="Z17" s="7">
        <v>224</v>
      </c>
      <c r="AA17" s="7" t="s">
        <v>1183</v>
      </c>
      <c r="AB17" s="7">
        <v>535</v>
      </c>
      <c r="AC17" s="7"/>
      <c r="AD17" s="168"/>
    </row>
    <row r="18" spans="1:30">
      <c r="A18" s="23" t="s">
        <v>409</v>
      </c>
      <c r="B18" s="4" t="s">
        <v>141</v>
      </c>
      <c r="C18" s="4" t="s">
        <v>7</v>
      </c>
      <c r="D18" s="4" t="s">
        <v>145</v>
      </c>
      <c r="E18" s="4" t="s">
        <v>8</v>
      </c>
      <c r="F18" s="4" t="s">
        <v>165</v>
      </c>
      <c r="G18" s="4" t="s">
        <v>1183</v>
      </c>
      <c r="H18" s="7">
        <v>7340</v>
      </c>
      <c r="I18" s="7">
        <v>36700</v>
      </c>
      <c r="J18" s="7" t="s">
        <v>1184</v>
      </c>
      <c r="K18" s="7"/>
      <c r="L18" s="7"/>
      <c r="M18" s="7" t="s">
        <v>1183</v>
      </c>
      <c r="N18" s="7">
        <v>1060</v>
      </c>
      <c r="O18" s="7">
        <v>5300</v>
      </c>
      <c r="P18" s="7" t="s">
        <v>1184</v>
      </c>
      <c r="Q18" s="7"/>
      <c r="R18" s="7"/>
      <c r="S18" s="7" t="s">
        <v>1183</v>
      </c>
      <c r="T18" s="7">
        <v>280</v>
      </c>
      <c r="U18" s="7" t="s">
        <v>1184</v>
      </c>
      <c r="V18" s="7"/>
      <c r="W18" s="7" t="s">
        <v>1183</v>
      </c>
      <c r="X18" s="7">
        <v>7060</v>
      </c>
      <c r="Y18" s="7" t="s">
        <v>1184</v>
      </c>
      <c r="Z18" s="7"/>
      <c r="AA18" s="7" t="s">
        <v>1184</v>
      </c>
      <c r="AB18" s="7"/>
      <c r="AC18" s="7"/>
      <c r="AD18" s="168"/>
    </row>
    <row r="19" spans="1:30">
      <c r="A19" s="23" t="s">
        <v>409</v>
      </c>
      <c r="B19" s="4" t="s">
        <v>141</v>
      </c>
      <c r="C19" s="4" t="s">
        <v>7</v>
      </c>
      <c r="D19" s="4" t="s">
        <v>145</v>
      </c>
      <c r="E19" s="4" t="s">
        <v>135</v>
      </c>
      <c r="F19" s="4" t="s">
        <v>166</v>
      </c>
      <c r="G19" s="4" t="s">
        <v>1183</v>
      </c>
      <c r="H19" s="7">
        <v>1167</v>
      </c>
      <c r="I19" s="7">
        <v>6920</v>
      </c>
      <c r="J19" s="7" t="s">
        <v>1184</v>
      </c>
      <c r="K19" s="7"/>
      <c r="L19" s="7"/>
      <c r="M19" s="7" t="s">
        <v>1183</v>
      </c>
      <c r="N19" s="7">
        <v>327</v>
      </c>
      <c r="O19" s="7">
        <v>1525</v>
      </c>
      <c r="P19" s="7" t="s">
        <v>1183</v>
      </c>
      <c r="Q19" s="7">
        <v>587</v>
      </c>
      <c r="R19" s="7">
        <v>4113</v>
      </c>
      <c r="S19" s="7" t="s">
        <v>1184</v>
      </c>
      <c r="T19" s="7"/>
      <c r="U19" s="7" t="s">
        <v>1184</v>
      </c>
      <c r="V19" s="7"/>
      <c r="W19" s="7" t="s">
        <v>1183</v>
      </c>
      <c r="X19" s="7">
        <v>1167</v>
      </c>
      <c r="Y19" s="7" t="s">
        <v>1184</v>
      </c>
      <c r="Z19" s="7"/>
      <c r="AA19" s="7" t="s">
        <v>1184</v>
      </c>
      <c r="AB19" s="7"/>
      <c r="AC19" s="7"/>
      <c r="AD19" s="168"/>
    </row>
    <row r="20" spans="1:30">
      <c r="A20" s="23" t="s">
        <v>409</v>
      </c>
      <c r="B20" s="4" t="s">
        <v>141</v>
      </c>
      <c r="C20" s="4" t="s">
        <v>10</v>
      </c>
      <c r="D20" s="4" t="s">
        <v>146</v>
      </c>
      <c r="E20" s="4" t="s">
        <v>31</v>
      </c>
      <c r="F20" s="4" t="s">
        <v>167</v>
      </c>
      <c r="G20" s="4" t="s">
        <v>1183</v>
      </c>
      <c r="H20" s="7">
        <v>1486</v>
      </c>
      <c r="I20" s="7">
        <v>11613</v>
      </c>
      <c r="J20" s="7" t="s">
        <v>1184</v>
      </c>
      <c r="K20" s="7"/>
      <c r="L20" s="7"/>
      <c r="M20" s="7" t="s">
        <v>1183</v>
      </c>
      <c r="N20" s="7">
        <v>1269</v>
      </c>
      <c r="O20" s="7">
        <v>6350</v>
      </c>
      <c r="P20" s="7" t="s">
        <v>1184</v>
      </c>
      <c r="Q20" s="7"/>
      <c r="R20" s="7"/>
      <c r="S20" s="7" t="s">
        <v>1183</v>
      </c>
      <c r="T20" s="7">
        <v>523</v>
      </c>
      <c r="U20" s="7" t="s">
        <v>1184</v>
      </c>
      <c r="V20" s="7"/>
      <c r="W20" s="7" t="s">
        <v>1183</v>
      </c>
      <c r="X20" s="7">
        <v>2232</v>
      </c>
      <c r="Y20" s="7" t="s">
        <v>1184</v>
      </c>
      <c r="Z20" s="7"/>
      <c r="AA20" s="7" t="s">
        <v>1184</v>
      </c>
      <c r="AB20" s="7"/>
      <c r="AC20" s="7"/>
      <c r="AD20" s="168"/>
    </row>
    <row r="21" spans="1:30">
      <c r="A21" s="23" t="s">
        <v>409</v>
      </c>
      <c r="B21" s="4" t="s">
        <v>141</v>
      </c>
      <c r="C21" s="4" t="s">
        <v>10</v>
      </c>
      <c r="D21" s="4" t="s">
        <v>146</v>
      </c>
      <c r="E21" s="4" t="s">
        <v>17</v>
      </c>
      <c r="F21" s="4" t="s">
        <v>168</v>
      </c>
      <c r="G21" s="4" t="s">
        <v>1183</v>
      </c>
      <c r="H21" s="7">
        <v>523</v>
      </c>
      <c r="I21" s="7">
        <v>2960</v>
      </c>
      <c r="J21" s="7" t="s">
        <v>1183</v>
      </c>
      <c r="K21" s="7">
        <v>121</v>
      </c>
      <c r="L21" s="7">
        <v>605</v>
      </c>
      <c r="M21" s="7" t="s">
        <v>1183</v>
      </c>
      <c r="N21" s="7">
        <v>25</v>
      </c>
      <c r="O21" s="7">
        <v>125</v>
      </c>
      <c r="P21" s="7" t="s">
        <v>1184</v>
      </c>
      <c r="Q21" s="7"/>
      <c r="R21" s="7"/>
      <c r="S21" s="7" t="s">
        <v>1183</v>
      </c>
      <c r="T21" s="7">
        <v>482</v>
      </c>
      <c r="U21" s="7" t="s">
        <v>1184</v>
      </c>
      <c r="V21" s="7"/>
      <c r="W21" s="7" t="s">
        <v>1183</v>
      </c>
      <c r="X21" s="7">
        <v>187</v>
      </c>
      <c r="Y21" s="7" t="s">
        <v>1184</v>
      </c>
      <c r="Z21" s="7"/>
      <c r="AA21" s="7" t="s">
        <v>1184</v>
      </c>
      <c r="AB21" s="7"/>
      <c r="AC21" s="7"/>
      <c r="AD21" s="168"/>
    </row>
    <row r="22" spans="1:30">
      <c r="A22" s="23" t="s">
        <v>409</v>
      </c>
      <c r="B22" s="4" t="s">
        <v>141</v>
      </c>
      <c r="C22" s="4" t="s">
        <v>10</v>
      </c>
      <c r="D22" s="4" t="s">
        <v>146</v>
      </c>
      <c r="E22" s="4" t="s">
        <v>136</v>
      </c>
      <c r="F22" s="4" t="s">
        <v>169</v>
      </c>
      <c r="G22" s="4" t="s">
        <v>1183</v>
      </c>
      <c r="H22" s="7">
        <v>239</v>
      </c>
      <c r="I22" s="7">
        <v>1455</v>
      </c>
      <c r="J22" s="7" t="s">
        <v>1184</v>
      </c>
      <c r="K22" s="7"/>
      <c r="L22" s="7"/>
      <c r="M22" s="7" t="s">
        <v>1183</v>
      </c>
      <c r="N22" s="7">
        <v>37</v>
      </c>
      <c r="O22" s="7">
        <v>185</v>
      </c>
      <c r="P22" s="7" t="s">
        <v>1183</v>
      </c>
      <c r="Q22" s="7">
        <v>19</v>
      </c>
      <c r="R22" s="7">
        <v>95</v>
      </c>
      <c r="S22" s="7" t="s">
        <v>1184</v>
      </c>
      <c r="T22" s="7"/>
      <c r="U22" s="7" t="s">
        <v>1184</v>
      </c>
      <c r="V22" s="7"/>
      <c r="W22" s="7" t="s">
        <v>1183</v>
      </c>
      <c r="X22" s="7">
        <v>276</v>
      </c>
      <c r="Y22" s="7" t="s">
        <v>1184</v>
      </c>
      <c r="Z22" s="7"/>
      <c r="AA22" s="7" t="s">
        <v>1184</v>
      </c>
      <c r="AB22" s="7"/>
      <c r="AC22" s="7"/>
      <c r="AD22" s="168"/>
    </row>
    <row r="23" spans="1:30">
      <c r="A23" s="23" t="s">
        <v>409</v>
      </c>
      <c r="B23" s="4" t="s">
        <v>141</v>
      </c>
      <c r="C23" s="4" t="s">
        <v>10</v>
      </c>
      <c r="D23" s="4" t="s">
        <v>146</v>
      </c>
      <c r="E23" s="4" t="s">
        <v>29</v>
      </c>
      <c r="F23" s="4" t="s">
        <v>172</v>
      </c>
      <c r="G23" s="4" t="s">
        <v>1183</v>
      </c>
      <c r="H23" s="7">
        <v>67</v>
      </c>
      <c r="I23" s="7">
        <v>359</v>
      </c>
      <c r="J23" s="7" t="s">
        <v>1183</v>
      </c>
      <c r="K23" s="7">
        <v>1</v>
      </c>
      <c r="L23" s="7">
        <v>4</v>
      </c>
      <c r="M23" s="7" t="s">
        <v>1183</v>
      </c>
      <c r="N23" s="7">
        <v>3</v>
      </c>
      <c r="O23" s="7">
        <v>17</v>
      </c>
      <c r="P23" s="7" t="s">
        <v>1184</v>
      </c>
      <c r="Q23" s="7"/>
      <c r="R23" s="7"/>
      <c r="S23" s="7" t="s">
        <v>1183</v>
      </c>
      <c r="T23" s="7">
        <v>67</v>
      </c>
      <c r="U23" s="7" t="s">
        <v>1184</v>
      </c>
      <c r="V23" s="7"/>
      <c r="W23" s="7" t="s">
        <v>1183</v>
      </c>
      <c r="X23" s="7">
        <v>4</v>
      </c>
      <c r="Y23" s="7" t="s">
        <v>1184</v>
      </c>
      <c r="Z23" s="7"/>
      <c r="AA23" s="7" t="s">
        <v>1184</v>
      </c>
      <c r="AB23" s="7"/>
      <c r="AC23" s="7"/>
      <c r="AD23" s="168"/>
    </row>
    <row r="24" spans="1:30">
      <c r="A24" s="23" t="s">
        <v>409</v>
      </c>
      <c r="B24" s="4" t="s">
        <v>141</v>
      </c>
      <c r="C24" s="4" t="s">
        <v>10</v>
      </c>
      <c r="D24" s="4" t="s">
        <v>146</v>
      </c>
      <c r="E24" s="4" t="s">
        <v>137</v>
      </c>
      <c r="F24" s="4" t="s">
        <v>170</v>
      </c>
      <c r="G24" s="4" t="s">
        <v>1183</v>
      </c>
      <c r="H24" s="7">
        <v>359</v>
      </c>
      <c r="I24" s="7">
        <v>1795</v>
      </c>
      <c r="J24" s="7" t="s">
        <v>1184</v>
      </c>
      <c r="K24" s="7"/>
      <c r="L24" s="7"/>
      <c r="M24" s="7" t="s">
        <v>1183</v>
      </c>
      <c r="N24" s="7">
        <v>320</v>
      </c>
      <c r="O24" s="7">
        <v>1495</v>
      </c>
      <c r="P24" s="7" t="s">
        <v>1183</v>
      </c>
      <c r="Q24" s="7">
        <v>20</v>
      </c>
      <c r="R24" s="7">
        <v>137</v>
      </c>
      <c r="S24" s="7" t="s">
        <v>1184</v>
      </c>
      <c r="T24" s="7"/>
      <c r="U24" s="7" t="s">
        <v>1184</v>
      </c>
      <c r="V24" s="7"/>
      <c r="W24" s="7" t="s">
        <v>1183</v>
      </c>
      <c r="X24" s="7">
        <v>453</v>
      </c>
      <c r="Y24" s="7" t="s">
        <v>1184</v>
      </c>
      <c r="Z24" s="7"/>
      <c r="AA24" s="7" t="s">
        <v>1183</v>
      </c>
      <c r="AB24" s="7">
        <v>226</v>
      </c>
      <c r="AC24" s="7"/>
      <c r="AD24" s="168"/>
    </row>
    <row r="25" spans="1:30">
      <c r="A25" s="23" t="s">
        <v>409</v>
      </c>
      <c r="B25" s="4" t="s">
        <v>141</v>
      </c>
      <c r="C25" s="4" t="s">
        <v>10</v>
      </c>
      <c r="D25" s="4" t="s">
        <v>146</v>
      </c>
      <c r="E25" s="4" t="s">
        <v>20</v>
      </c>
      <c r="F25" s="4" t="s">
        <v>171</v>
      </c>
      <c r="G25" s="4" t="s">
        <v>1183</v>
      </c>
      <c r="H25" s="195">
        <v>236</v>
      </c>
      <c r="I25" s="7">
        <v>1252</v>
      </c>
      <c r="J25" s="7" t="s">
        <v>1183</v>
      </c>
      <c r="K25" s="7">
        <v>45</v>
      </c>
      <c r="L25" s="7">
        <v>235</v>
      </c>
      <c r="M25" s="7" t="s">
        <v>1183</v>
      </c>
      <c r="N25" s="7">
        <v>97</v>
      </c>
      <c r="O25" s="7">
        <v>775</v>
      </c>
      <c r="P25" s="7" t="s">
        <v>1183</v>
      </c>
      <c r="Q25" s="7">
        <v>39</v>
      </c>
      <c r="R25" s="7">
        <v>156</v>
      </c>
      <c r="S25" s="7" t="s">
        <v>1184</v>
      </c>
      <c r="T25" s="7"/>
      <c r="U25" s="7" t="s">
        <v>1183</v>
      </c>
      <c r="V25" s="7">
        <v>138</v>
      </c>
      <c r="W25" s="7" t="s">
        <v>1183</v>
      </c>
      <c r="X25" s="7">
        <v>172</v>
      </c>
      <c r="Y25" s="7" t="s">
        <v>1184</v>
      </c>
      <c r="Z25" s="7"/>
      <c r="AA25" s="7" t="s">
        <v>1183</v>
      </c>
      <c r="AB25" s="7">
        <v>62</v>
      </c>
      <c r="AC25" s="7">
        <v>11</v>
      </c>
      <c r="AD25" s="168">
        <v>88</v>
      </c>
    </row>
    <row r="26" spans="1:30">
      <c r="A26" s="23" t="s">
        <v>409</v>
      </c>
      <c r="B26" s="4" t="s">
        <v>141</v>
      </c>
      <c r="C26" s="4" t="s">
        <v>4</v>
      </c>
      <c r="D26" s="4" t="s">
        <v>147</v>
      </c>
      <c r="E26" s="4" t="s">
        <v>138</v>
      </c>
      <c r="F26" s="4" t="s">
        <v>173</v>
      </c>
      <c r="G26" s="4" t="s">
        <v>1183</v>
      </c>
      <c r="H26" s="7">
        <v>4</v>
      </c>
      <c r="I26" s="7">
        <v>31</v>
      </c>
      <c r="J26" s="7" t="s">
        <v>1184</v>
      </c>
      <c r="K26" s="7"/>
      <c r="L26" s="7"/>
      <c r="M26" s="7" t="s">
        <v>1183</v>
      </c>
      <c r="N26" s="7">
        <v>1</v>
      </c>
      <c r="O26" s="7">
        <v>13</v>
      </c>
      <c r="P26" s="7" t="s">
        <v>1184</v>
      </c>
      <c r="Q26" s="7"/>
      <c r="R26" s="7"/>
      <c r="S26" s="7" t="s">
        <v>1184</v>
      </c>
      <c r="T26" s="7"/>
      <c r="U26" s="7" t="s">
        <v>1184</v>
      </c>
      <c r="V26" s="7"/>
      <c r="W26" s="7" t="s">
        <v>1183</v>
      </c>
      <c r="X26" s="7">
        <v>5</v>
      </c>
      <c r="Y26" s="7" t="s">
        <v>1184</v>
      </c>
      <c r="Z26" s="7"/>
      <c r="AA26" s="7" t="s">
        <v>1184</v>
      </c>
      <c r="AB26" s="7"/>
      <c r="AC26" s="7"/>
      <c r="AD26" s="168"/>
    </row>
    <row r="27" spans="1:30">
      <c r="A27" s="23" t="s">
        <v>409</v>
      </c>
      <c r="B27" s="4" t="s">
        <v>141</v>
      </c>
      <c r="C27" s="4" t="s">
        <v>4</v>
      </c>
      <c r="D27" s="4" t="s">
        <v>147</v>
      </c>
      <c r="E27" s="4" t="s">
        <v>5</v>
      </c>
      <c r="F27" s="4" t="s">
        <v>174</v>
      </c>
      <c r="G27" s="4" t="s">
        <v>1184</v>
      </c>
      <c r="H27" s="195"/>
      <c r="I27" s="195"/>
      <c r="J27" s="195" t="s">
        <v>1183</v>
      </c>
      <c r="K27" s="195">
        <v>2</v>
      </c>
      <c r="L27" s="195">
        <v>10</v>
      </c>
      <c r="M27" s="195" t="s">
        <v>1183</v>
      </c>
      <c r="N27" s="195">
        <v>20</v>
      </c>
      <c r="O27" s="195">
        <v>100</v>
      </c>
      <c r="P27" s="195" t="s">
        <v>1183</v>
      </c>
      <c r="Q27" s="195">
        <v>30</v>
      </c>
      <c r="R27" s="195">
        <v>150</v>
      </c>
      <c r="S27" s="195" t="s">
        <v>1184</v>
      </c>
      <c r="T27" s="7"/>
      <c r="U27" s="7" t="s">
        <v>1184</v>
      </c>
      <c r="V27" s="7"/>
      <c r="W27" s="7" t="s">
        <v>1183</v>
      </c>
      <c r="X27" s="7">
        <v>18</v>
      </c>
      <c r="Y27" s="7" t="s">
        <v>1184</v>
      </c>
      <c r="Z27" s="7"/>
      <c r="AA27" s="7" t="s">
        <v>1183</v>
      </c>
      <c r="AB27" s="7">
        <v>2</v>
      </c>
      <c r="AC27" s="7"/>
      <c r="AD27" s="168"/>
    </row>
    <row r="28" spans="1:30">
      <c r="A28" s="23" t="s">
        <v>409</v>
      </c>
      <c r="B28" s="4" t="s">
        <v>141</v>
      </c>
      <c r="C28" s="4" t="s">
        <v>4</v>
      </c>
      <c r="D28" s="4" t="s">
        <v>147</v>
      </c>
      <c r="E28" s="4" t="s">
        <v>38</v>
      </c>
      <c r="F28" s="4" t="s">
        <v>175</v>
      </c>
      <c r="G28" s="4" t="s">
        <v>1183</v>
      </c>
      <c r="H28" s="195">
        <v>36</v>
      </c>
      <c r="I28" s="195">
        <v>182</v>
      </c>
      <c r="J28" s="195" t="s">
        <v>1183</v>
      </c>
      <c r="K28" s="195">
        <v>1</v>
      </c>
      <c r="L28" s="195">
        <v>2</v>
      </c>
      <c r="M28" s="195" t="s">
        <v>1183</v>
      </c>
      <c r="N28" s="195">
        <v>4</v>
      </c>
      <c r="O28" s="195">
        <v>23</v>
      </c>
      <c r="P28" s="195" t="s">
        <v>1184</v>
      </c>
      <c r="Q28" s="195"/>
      <c r="R28" s="195"/>
      <c r="S28" s="195" t="s">
        <v>1184</v>
      </c>
      <c r="T28" s="7"/>
      <c r="U28" s="7" t="s">
        <v>1184</v>
      </c>
      <c r="V28" s="7"/>
      <c r="W28" s="7" t="s">
        <v>1183</v>
      </c>
      <c r="X28" s="7">
        <v>30</v>
      </c>
      <c r="Y28" s="7" t="s">
        <v>1184</v>
      </c>
      <c r="Z28" s="7"/>
      <c r="AA28" s="7" t="s">
        <v>1183</v>
      </c>
      <c r="AB28" s="7">
        <v>12</v>
      </c>
      <c r="AC28" s="7"/>
      <c r="AD28" s="168"/>
    </row>
    <row r="29" spans="1:30">
      <c r="A29" s="23" t="s">
        <v>409</v>
      </c>
      <c r="B29" s="4" t="s">
        <v>141</v>
      </c>
      <c r="C29" s="4" t="s">
        <v>4</v>
      </c>
      <c r="D29" s="4" t="s">
        <v>147</v>
      </c>
      <c r="E29" s="4" t="s">
        <v>90</v>
      </c>
      <c r="F29" s="4" t="s">
        <v>176</v>
      </c>
      <c r="G29" s="4" t="s">
        <v>1184</v>
      </c>
      <c r="H29" s="195"/>
      <c r="I29" s="195"/>
      <c r="J29" s="195" t="s">
        <v>1184</v>
      </c>
      <c r="K29" s="195"/>
      <c r="L29" s="195"/>
      <c r="M29" s="195" t="s">
        <v>1183</v>
      </c>
      <c r="N29" s="195">
        <v>6</v>
      </c>
      <c r="O29" s="195">
        <v>36</v>
      </c>
      <c r="P29" s="195" t="s">
        <v>1184</v>
      </c>
      <c r="Q29" s="195"/>
      <c r="R29" s="195"/>
      <c r="S29" s="195" t="s">
        <v>1184</v>
      </c>
      <c r="T29" s="7"/>
      <c r="U29" s="7" t="s">
        <v>1184</v>
      </c>
      <c r="V29" s="7"/>
      <c r="W29" s="7" t="s">
        <v>1183</v>
      </c>
      <c r="X29" s="7">
        <v>6</v>
      </c>
      <c r="Y29" s="7" t="s">
        <v>1184</v>
      </c>
      <c r="Z29" s="7"/>
      <c r="AA29" s="7" t="s">
        <v>1184</v>
      </c>
      <c r="AB29" s="7"/>
      <c r="AC29" s="7"/>
      <c r="AD29" s="168"/>
    </row>
    <row r="30" spans="1:30">
      <c r="A30" s="23" t="s">
        <v>409</v>
      </c>
      <c r="B30" s="4" t="s">
        <v>141</v>
      </c>
      <c r="C30" s="4" t="s">
        <v>4</v>
      </c>
      <c r="D30" s="4" t="s">
        <v>147</v>
      </c>
      <c r="E30" s="4" t="s">
        <v>22</v>
      </c>
      <c r="F30" s="4" t="s">
        <v>177</v>
      </c>
      <c r="G30" s="4" t="s">
        <v>1183</v>
      </c>
      <c r="H30" s="195">
        <v>9</v>
      </c>
      <c r="I30" s="195">
        <v>45</v>
      </c>
      <c r="J30" s="195" t="s">
        <v>1184</v>
      </c>
      <c r="K30" s="195"/>
      <c r="L30" s="195"/>
      <c r="M30" s="195" t="s">
        <v>1183</v>
      </c>
      <c r="N30" s="195">
        <v>4</v>
      </c>
      <c r="O30" s="195">
        <v>20</v>
      </c>
      <c r="P30" s="195" t="s">
        <v>1184</v>
      </c>
      <c r="Q30" s="195"/>
      <c r="R30" s="195"/>
      <c r="S30" s="195" t="s">
        <v>1184</v>
      </c>
      <c r="T30" s="7"/>
      <c r="U30" s="7" t="s">
        <v>1184</v>
      </c>
      <c r="V30" s="7"/>
      <c r="W30" s="7" t="s">
        <v>1183</v>
      </c>
      <c r="X30" s="7">
        <v>5</v>
      </c>
      <c r="Y30" s="7" t="s">
        <v>1184</v>
      </c>
      <c r="Z30" s="7"/>
      <c r="AA30" s="7" t="s">
        <v>1183</v>
      </c>
      <c r="AB30" s="7">
        <v>4</v>
      </c>
      <c r="AC30" s="7"/>
      <c r="AD30" s="168"/>
    </row>
    <row r="31" spans="1:30">
      <c r="A31" s="23" t="s">
        <v>409</v>
      </c>
      <c r="B31" s="4" t="s">
        <v>141</v>
      </c>
      <c r="C31" s="4" t="s">
        <v>27</v>
      </c>
      <c r="D31" s="4" t="s">
        <v>148</v>
      </c>
      <c r="E31" s="4" t="s">
        <v>33</v>
      </c>
      <c r="F31" s="4" t="s">
        <v>178</v>
      </c>
      <c r="G31" s="4" t="s">
        <v>1183</v>
      </c>
      <c r="H31" s="195">
        <v>1257</v>
      </c>
      <c r="I31" s="195">
        <v>6400</v>
      </c>
      <c r="J31" s="195" t="s">
        <v>1183</v>
      </c>
      <c r="K31" s="195">
        <v>104</v>
      </c>
      <c r="L31" s="195">
        <v>515</v>
      </c>
      <c r="M31" s="195" t="s">
        <v>1184</v>
      </c>
      <c r="N31" s="195"/>
      <c r="O31" s="195"/>
      <c r="P31" s="195" t="s">
        <v>1184</v>
      </c>
      <c r="Q31" s="195"/>
      <c r="R31" s="195"/>
      <c r="S31" s="195" t="s">
        <v>1183</v>
      </c>
      <c r="T31" s="7">
        <v>1277</v>
      </c>
      <c r="U31" s="7" t="s">
        <v>1183</v>
      </c>
      <c r="V31" s="7">
        <v>850</v>
      </c>
      <c r="W31" s="7" t="s">
        <v>1183</v>
      </c>
      <c r="X31" s="7">
        <v>2572</v>
      </c>
      <c r="Y31" s="7" t="s">
        <v>1183</v>
      </c>
      <c r="Z31" s="7">
        <v>373</v>
      </c>
      <c r="AA31" s="7" t="s">
        <v>1183</v>
      </c>
      <c r="AB31" s="7">
        <v>301</v>
      </c>
      <c r="AC31" s="7">
        <v>4173</v>
      </c>
      <c r="AD31" s="168">
        <v>31160</v>
      </c>
    </row>
    <row r="32" spans="1:30">
      <c r="A32" s="23" t="s">
        <v>409</v>
      </c>
      <c r="B32" s="4" t="s">
        <v>141</v>
      </c>
      <c r="C32" s="4" t="s">
        <v>27</v>
      </c>
      <c r="D32" s="4" t="s">
        <v>148</v>
      </c>
      <c r="E32" s="4" t="s">
        <v>28</v>
      </c>
      <c r="F32" s="4" t="s">
        <v>179</v>
      </c>
      <c r="G32" s="4" t="s">
        <v>1183</v>
      </c>
      <c r="H32" s="195">
        <v>3864</v>
      </c>
      <c r="I32" s="195">
        <v>23556</v>
      </c>
      <c r="J32" s="195" t="s">
        <v>1184</v>
      </c>
      <c r="K32" s="195"/>
      <c r="L32" s="195"/>
      <c r="M32" s="195" t="s">
        <v>1183</v>
      </c>
      <c r="N32" s="195">
        <v>74</v>
      </c>
      <c r="O32" s="195">
        <v>449</v>
      </c>
      <c r="P32" s="195" t="s">
        <v>1183</v>
      </c>
      <c r="Q32" s="195">
        <v>3790</v>
      </c>
      <c r="R32" s="195">
        <v>23107</v>
      </c>
      <c r="S32" s="195" t="s">
        <v>1183</v>
      </c>
      <c r="T32" s="7">
        <v>73</v>
      </c>
      <c r="U32" s="7" t="s">
        <v>1184</v>
      </c>
      <c r="V32" s="7"/>
      <c r="W32" s="7" t="s">
        <v>1183</v>
      </c>
      <c r="X32" s="7">
        <v>320</v>
      </c>
      <c r="Y32" s="7" t="s">
        <v>1184</v>
      </c>
      <c r="Z32" s="7"/>
      <c r="AA32" s="7" t="s">
        <v>1183</v>
      </c>
      <c r="AB32" s="7">
        <v>270</v>
      </c>
      <c r="AC32" s="7"/>
      <c r="AD32" s="168"/>
    </row>
    <row r="33" spans="1:30">
      <c r="A33" s="23" t="s">
        <v>409</v>
      </c>
      <c r="B33" s="4" t="s">
        <v>141</v>
      </c>
      <c r="C33" s="4" t="s">
        <v>27</v>
      </c>
      <c r="D33" s="4" t="s">
        <v>148</v>
      </c>
      <c r="E33" s="4" t="s">
        <v>139</v>
      </c>
      <c r="F33" s="4" t="s">
        <v>180</v>
      </c>
      <c r="G33" s="4" t="s">
        <v>1183</v>
      </c>
      <c r="H33" s="195">
        <v>772</v>
      </c>
      <c r="I33" s="195">
        <v>3857</v>
      </c>
      <c r="J33" s="195" t="s">
        <v>1184</v>
      </c>
      <c r="K33" s="195"/>
      <c r="L33" s="195"/>
      <c r="M33" s="195" t="s">
        <v>1183</v>
      </c>
      <c r="N33" s="195">
        <v>25</v>
      </c>
      <c r="O33" s="195">
        <v>137</v>
      </c>
      <c r="P33" s="195" t="s">
        <v>1184</v>
      </c>
      <c r="Q33" s="195"/>
      <c r="R33" s="195"/>
      <c r="S33" s="195" t="s">
        <v>1184</v>
      </c>
      <c r="T33" s="7"/>
      <c r="U33" s="7" t="s">
        <v>1184</v>
      </c>
      <c r="V33" s="7"/>
      <c r="W33" s="7" t="s">
        <v>1183</v>
      </c>
      <c r="X33" s="7">
        <v>502</v>
      </c>
      <c r="Y33" s="7" t="s">
        <v>1184</v>
      </c>
      <c r="Z33" s="7"/>
      <c r="AA33" s="7" t="s">
        <v>1183</v>
      </c>
      <c r="AB33" s="7">
        <v>270</v>
      </c>
      <c r="AC33" s="7"/>
      <c r="AD33" s="168"/>
    </row>
    <row r="34" spans="1:30">
      <c r="A34" s="23" t="s">
        <v>409</v>
      </c>
      <c r="B34" s="4" t="s">
        <v>141</v>
      </c>
      <c r="C34" s="4" t="s">
        <v>2</v>
      </c>
      <c r="D34" s="4" t="s">
        <v>149</v>
      </c>
      <c r="E34" s="4" t="s">
        <v>99</v>
      </c>
      <c r="F34" s="4" t="s">
        <v>181</v>
      </c>
      <c r="G34" s="4" t="s">
        <v>1183</v>
      </c>
      <c r="H34" s="195">
        <v>603</v>
      </c>
      <c r="I34" s="195">
        <v>4099</v>
      </c>
      <c r="J34" s="195" t="s">
        <v>1184</v>
      </c>
      <c r="K34" s="195"/>
      <c r="L34" s="195"/>
      <c r="M34" s="195" t="s">
        <v>1183</v>
      </c>
      <c r="N34" s="196">
        <v>189</v>
      </c>
      <c r="O34" s="196">
        <v>1284</v>
      </c>
      <c r="P34" s="195" t="s">
        <v>1184</v>
      </c>
      <c r="Q34" s="195"/>
      <c r="R34" s="195"/>
      <c r="S34" s="195" t="s">
        <v>1184</v>
      </c>
      <c r="T34" s="7"/>
      <c r="U34" s="7" t="s">
        <v>1184</v>
      </c>
      <c r="V34" s="7"/>
      <c r="W34" s="7" t="s">
        <v>1183</v>
      </c>
      <c r="X34" s="7">
        <v>486</v>
      </c>
      <c r="Y34" s="7" t="s">
        <v>1184</v>
      </c>
      <c r="Z34" s="7"/>
      <c r="AA34" s="7" t="s">
        <v>1183</v>
      </c>
      <c r="AB34" s="7">
        <v>117</v>
      </c>
      <c r="AC34" s="7"/>
      <c r="AD34" s="168"/>
    </row>
    <row r="35" spans="1:30">
      <c r="A35" s="23" t="s">
        <v>409</v>
      </c>
      <c r="B35" s="4" t="s">
        <v>141</v>
      </c>
      <c r="C35" s="4" t="s">
        <v>2</v>
      </c>
      <c r="D35" s="4" t="s">
        <v>149</v>
      </c>
      <c r="E35" s="4" t="s">
        <v>35</v>
      </c>
      <c r="F35" s="4" t="s">
        <v>182</v>
      </c>
      <c r="G35" s="4" t="s">
        <v>1183</v>
      </c>
      <c r="H35" s="195">
        <v>820</v>
      </c>
      <c r="I35" s="195">
        <v>4099</v>
      </c>
      <c r="J35" s="195" t="s">
        <v>1184</v>
      </c>
      <c r="K35" s="195"/>
      <c r="L35" s="195"/>
      <c r="M35" s="195" t="s">
        <v>1183</v>
      </c>
      <c r="N35" s="195">
        <v>405</v>
      </c>
      <c r="O35" s="195">
        <v>2025</v>
      </c>
      <c r="P35" s="195" t="s">
        <v>1184</v>
      </c>
      <c r="Q35" s="195"/>
      <c r="R35" s="195"/>
      <c r="S35" s="195" t="s">
        <v>1184</v>
      </c>
      <c r="T35" s="7"/>
      <c r="U35" s="7" t="s">
        <v>1183</v>
      </c>
      <c r="V35" s="7">
        <v>105</v>
      </c>
      <c r="W35" s="7" t="s">
        <v>1183</v>
      </c>
      <c r="X35" s="7">
        <v>686</v>
      </c>
      <c r="Y35" s="7" t="s">
        <v>1184</v>
      </c>
      <c r="Z35" s="7"/>
      <c r="AA35" s="7" t="s">
        <v>1183</v>
      </c>
      <c r="AB35" s="7">
        <v>29</v>
      </c>
      <c r="AC35" s="7"/>
      <c r="AD35" s="168"/>
    </row>
    <row r="36" spans="1:30">
      <c r="A36" s="23" t="s">
        <v>409</v>
      </c>
      <c r="B36" s="4" t="s">
        <v>141</v>
      </c>
      <c r="C36" s="4" t="s">
        <v>2</v>
      </c>
      <c r="D36" s="4" t="s">
        <v>149</v>
      </c>
      <c r="E36" s="4" t="s">
        <v>36</v>
      </c>
      <c r="F36" s="4" t="s">
        <v>183</v>
      </c>
      <c r="G36" s="4" t="s">
        <v>1183</v>
      </c>
      <c r="H36" s="195">
        <v>108</v>
      </c>
      <c r="I36" s="195">
        <v>749</v>
      </c>
      <c r="J36" s="195" t="s">
        <v>1184</v>
      </c>
      <c r="K36" s="195"/>
      <c r="L36" s="195"/>
      <c r="M36" s="195" t="s">
        <v>1183</v>
      </c>
      <c r="N36" s="195">
        <v>9</v>
      </c>
      <c r="O36" s="195">
        <v>63</v>
      </c>
      <c r="P36" s="195" t="s">
        <v>1184</v>
      </c>
      <c r="Q36" s="195"/>
      <c r="R36" s="195"/>
      <c r="S36" s="195" t="s">
        <v>1184</v>
      </c>
      <c r="T36" s="7"/>
      <c r="U36" s="7" t="s">
        <v>1184</v>
      </c>
      <c r="V36" s="7"/>
      <c r="W36" s="7" t="s">
        <v>1183</v>
      </c>
      <c r="X36" s="7">
        <v>108</v>
      </c>
      <c r="Y36" s="7" t="s">
        <v>1184</v>
      </c>
      <c r="Z36" s="7"/>
      <c r="AA36" s="7" t="s">
        <v>1184</v>
      </c>
      <c r="AB36" s="7"/>
      <c r="AC36" s="7"/>
      <c r="AD36" s="168"/>
    </row>
    <row r="37" spans="1:30">
      <c r="A37" s="23" t="s">
        <v>409</v>
      </c>
      <c r="B37" s="4" t="s">
        <v>141</v>
      </c>
      <c r="C37" s="4" t="s">
        <v>2</v>
      </c>
      <c r="D37" s="4" t="s">
        <v>149</v>
      </c>
      <c r="E37" s="4" t="s">
        <v>3</v>
      </c>
      <c r="F37" s="4" t="s">
        <v>184</v>
      </c>
      <c r="G37" s="4" t="s">
        <v>1183</v>
      </c>
      <c r="H37" s="195">
        <v>1082</v>
      </c>
      <c r="I37" s="195">
        <v>8513</v>
      </c>
      <c r="J37" s="195" t="s">
        <v>1184</v>
      </c>
      <c r="K37" s="195"/>
      <c r="L37" s="195"/>
      <c r="M37" s="195" t="s">
        <v>1183</v>
      </c>
      <c r="N37" s="195">
        <v>36</v>
      </c>
      <c r="O37" s="195">
        <v>216</v>
      </c>
      <c r="P37" s="195" t="s">
        <v>1184</v>
      </c>
      <c r="Q37" s="195"/>
      <c r="R37" s="195"/>
      <c r="S37" s="195" t="s">
        <v>1184</v>
      </c>
      <c r="T37" s="7"/>
      <c r="U37" s="7" t="s">
        <v>1184</v>
      </c>
      <c r="V37" s="7"/>
      <c r="W37" s="7" t="s">
        <v>1183</v>
      </c>
      <c r="X37" s="7">
        <v>1072</v>
      </c>
      <c r="Y37" s="7" t="s">
        <v>1184</v>
      </c>
      <c r="Z37" s="7"/>
      <c r="AA37" s="7" t="s">
        <v>1183</v>
      </c>
      <c r="AB37" s="7">
        <v>10</v>
      </c>
      <c r="AC37" s="7"/>
      <c r="AD37" s="168"/>
    </row>
    <row r="38" spans="1:30">
      <c r="A38" s="23" t="s">
        <v>409</v>
      </c>
      <c r="B38" s="4" t="s">
        <v>141</v>
      </c>
      <c r="C38" s="4" t="s">
        <v>2</v>
      </c>
      <c r="D38" s="4" t="s">
        <v>149</v>
      </c>
      <c r="E38" s="4" t="s">
        <v>16</v>
      </c>
      <c r="F38" s="4" t="s">
        <v>185</v>
      </c>
      <c r="G38" s="4" t="s">
        <v>1183</v>
      </c>
      <c r="H38" s="195">
        <v>1033</v>
      </c>
      <c r="I38" s="195">
        <v>5165</v>
      </c>
      <c r="J38" s="195" t="s">
        <v>1184</v>
      </c>
      <c r="K38" s="195"/>
      <c r="L38" s="195"/>
      <c r="M38" s="195" t="s">
        <v>1183</v>
      </c>
      <c r="N38" s="195">
        <v>41</v>
      </c>
      <c r="O38" s="195">
        <v>205</v>
      </c>
      <c r="P38" s="195" t="s">
        <v>1183</v>
      </c>
      <c r="Q38" s="195">
        <v>99</v>
      </c>
      <c r="R38" s="195">
        <v>495</v>
      </c>
      <c r="S38" s="195" t="s">
        <v>1183</v>
      </c>
      <c r="T38" s="7">
        <v>327</v>
      </c>
      <c r="U38" s="7" t="s">
        <v>1184</v>
      </c>
      <c r="V38" s="7"/>
      <c r="W38" s="7" t="s">
        <v>1183</v>
      </c>
      <c r="X38" s="7">
        <v>603</v>
      </c>
      <c r="Y38" s="7" t="s">
        <v>1184</v>
      </c>
      <c r="Z38" s="7"/>
      <c r="AA38" s="7" t="s">
        <v>1183</v>
      </c>
      <c r="AB38" s="7">
        <v>103</v>
      </c>
      <c r="AC38" s="7">
        <v>71</v>
      </c>
      <c r="AD38" s="168">
        <v>355</v>
      </c>
    </row>
    <row r="39" spans="1:30">
      <c r="A39" s="23" t="s">
        <v>409</v>
      </c>
      <c r="B39" s="4" t="s">
        <v>141</v>
      </c>
      <c r="C39" s="4" t="s">
        <v>2</v>
      </c>
      <c r="D39" s="4" t="s">
        <v>149</v>
      </c>
      <c r="E39" s="4" t="s">
        <v>410</v>
      </c>
      <c r="F39" s="4" t="s">
        <v>186</v>
      </c>
      <c r="G39" s="4" t="s">
        <v>1183</v>
      </c>
      <c r="H39" s="195">
        <v>102</v>
      </c>
      <c r="I39" s="195">
        <v>487</v>
      </c>
      <c r="J39" s="195" t="s">
        <v>1184</v>
      </c>
      <c r="K39" s="195"/>
      <c r="L39" s="195"/>
      <c r="M39" s="195" t="s">
        <v>1183</v>
      </c>
      <c r="N39" s="195">
        <v>38</v>
      </c>
      <c r="O39" s="195">
        <v>122</v>
      </c>
      <c r="P39" s="195" t="s">
        <v>1183</v>
      </c>
      <c r="Q39" s="195">
        <v>13</v>
      </c>
      <c r="R39" s="195">
        <v>39</v>
      </c>
      <c r="S39" s="195" t="s">
        <v>1184</v>
      </c>
      <c r="T39" s="7"/>
      <c r="U39" s="7" t="s">
        <v>1184</v>
      </c>
      <c r="V39" s="7"/>
      <c r="W39" s="7" t="s">
        <v>1183</v>
      </c>
      <c r="X39" s="7">
        <v>92</v>
      </c>
      <c r="Y39" s="7" t="s">
        <v>1184</v>
      </c>
      <c r="Z39" s="7"/>
      <c r="AA39" s="7" t="s">
        <v>1183</v>
      </c>
      <c r="AB39" s="7">
        <v>10</v>
      </c>
      <c r="AC39" s="7"/>
      <c r="AD39" s="168"/>
    </row>
    <row r="40" spans="1:30" ht="15.75" thickBot="1">
      <c r="A40" s="25" t="s">
        <v>409</v>
      </c>
      <c r="B40" s="26" t="s">
        <v>141</v>
      </c>
      <c r="C40" s="26" t="s">
        <v>2</v>
      </c>
      <c r="D40" s="26" t="s">
        <v>149</v>
      </c>
      <c r="E40" s="26" t="s">
        <v>14</v>
      </c>
      <c r="F40" s="26" t="s">
        <v>187</v>
      </c>
      <c r="G40" s="26" t="s">
        <v>1183</v>
      </c>
      <c r="H40" s="197">
        <v>18</v>
      </c>
      <c r="I40" s="197">
        <v>99</v>
      </c>
      <c r="J40" s="197" t="s">
        <v>1184</v>
      </c>
      <c r="K40" s="197"/>
      <c r="L40" s="197"/>
      <c r="M40" s="197" t="s">
        <v>1183</v>
      </c>
      <c r="N40" s="197">
        <v>8</v>
      </c>
      <c r="O40" s="197">
        <v>39</v>
      </c>
      <c r="P40" s="197" t="s">
        <v>1183</v>
      </c>
      <c r="Q40" s="197">
        <v>3</v>
      </c>
      <c r="R40" s="197">
        <v>12</v>
      </c>
      <c r="S40" s="197" t="s">
        <v>1184</v>
      </c>
      <c r="T40" s="27"/>
      <c r="U40" s="27" t="s">
        <v>1184</v>
      </c>
      <c r="V40" s="27"/>
      <c r="W40" s="27" t="s">
        <v>1183</v>
      </c>
      <c r="X40" s="27">
        <v>10</v>
      </c>
      <c r="Y40" s="27" t="s">
        <v>1184</v>
      </c>
      <c r="Z40" s="27"/>
      <c r="AA40" s="27" t="s">
        <v>1183</v>
      </c>
      <c r="AB40" s="27">
        <v>8</v>
      </c>
      <c r="AC40" s="27"/>
      <c r="AD40" s="169"/>
    </row>
    <row r="44" spans="1:30">
      <c r="F44" s="40"/>
      <c r="H44" s="61"/>
      <c r="I44" s="61"/>
      <c r="K44" s="61"/>
      <c r="L44" s="61"/>
      <c r="M44" s="6"/>
      <c r="N44" s="61"/>
      <c r="O44" s="61"/>
    </row>
    <row r="45" spans="1:30">
      <c r="G45" s="61"/>
      <c r="H45" s="61"/>
      <c r="K45" s="6"/>
      <c r="L45" s="6"/>
    </row>
    <row r="46" spans="1:30">
      <c r="L46" s="6"/>
      <c r="M46" s="6"/>
    </row>
    <row r="47" spans="1:30">
      <c r="L47" s="6"/>
      <c r="M47" s="6"/>
    </row>
  </sheetData>
  <autoFilter ref="A1:AD40"/>
  <conditionalFormatting sqref="A2:AD33 A35:AD40 A34:M34 P34:AD34">
    <cfRule type="expression" dxfId="47" priority="8">
      <formula>MOD(ROW(),2)=1</formula>
    </cfRule>
  </conditionalFormatting>
  <conditionalFormatting sqref="F44">
    <cfRule type="expression" dxfId="46" priority="7">
      <formula>MOD(ROW(),2)=1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8"/>
  <sheetViews>
    <sheetView tabSelected="1" zoomScale="55" zoomScaleNormal="55" workbookViewId="0">
      <selection activeCell="H33" sqref="H33"/>
    </sheetView>
  </sheetViews>
  <sheetFormatPr defaultColWidth="8.42578125" defaultRowHeight="15"/>
  <cols>
    <col min="1" max="1" width="15.42578125" customWidth="1"/>
    <col min="2" max="2" width="13.42578125" customWidth="1"/>
    <col min="3" max="3" width="16.85546875" customWidth="1"/>
    <col min="4" max="4" width="15.42578125" customWidth="1"/>
    <col min="5" max="6" width="24.42578125" customWidth="1"/>
    <col min="7" max="7" width="13.7109375" customWidth="1"/>
    <col min="8" max="8" width="19.7109375" customWidth="1"/>
    <col min="9" max="10" width="24.42578125" customWidth="1"/>
    <col min="11" max="11" width="24" customWidth="1"/>
    <col min="12" max="12" width="33.140625" bestFit="1" customWidth="1"/>
    <col min="13" max="13" width="10" customWidth="1"/>
    <col min="14" max="14" width="9.140625" customWidth="1"/>
    <col min="15" max="15" width="33.42578125" customWidth="1"/>
    <col min="16" max="16" width="15.85546875" customWidth="1"/>
    <col min="17" max="17" width="22" customWidth="1"/>
    <col min="18" max="18" width="18.28515625" customWidth="1"/>
    <col min="19" max="19" width="23" customWidth="1"/>
    <col min="20" max="20" width="17.7109375" customWidth="1"/>
    <col min="21" max="21" width="22.5703125" customWidth="1"/>
    <col min="22" max="22" width="18.28515625" customWidth="1"/>
    <col min="23" max="23" width="23" customWidth="1"/>
    <col min="24" max="24" width="19.7109375" customWidth="1"/>
    <col min="25" max="25" width="23" customWidth="1"/>
    <col min="28" max="28" width="43.28515625" customWidth="1"/>
    <col min="29" max="29" width="48.28515625" customWidth="1"/>
    <col min="30" max="30" width="24.85546875" bestFit="1" customWidth="1"/>
    <col min="31" max="31" width="25.42578125" bestFit="1" customWidth="1"/>
    <col min="32" max="32" width="24.140625" bestFit="1" customWidth="1"/>
    <col min="33" max="33" width="22.28515625" bestFit="1" customWidth="1"/>
    <col min="34" max="34" width="24.85546875" bestFit="1" customWidth="1"/>
    <col min="35" max="35" width="25.42578125" bestFit="1" customWidth="1"/>
    <col min="36" max="36" width="24.140625" bestFit="1" customWidth="1"/>
    <col min="37" max="37" width="22.28515625" bestFit="1" customWidth="1"/>
    <col min="38" max="38" width="29.140625" bestFit="1" customWidth="1"/>
    <col min="39" max="39" width="6.28515625" customWidth="1"/>
    <col min="40" max="40" width="7.5703125" customWidth="1"/>
    <col min="41" max="41" width="23.42578125" bestFit="1" customWidth="1"/>
    <col min="42" max="42" width="12.28515625" bestFit="1" customWidth="1"/>
    <col min="43" max="43" width="23" bestFit="1" customWidth="1"/>
    <col min="44" max="44" width="14" bestFit="1" customWidth="1"/>
    <col min="45" max="45" width="20.140625" bestFit="1" customWidth="1"/>
    <col min="46" max="46" width="20.42578125" bestFit="1" customWidth="1"/>
    <col min="47" max="47" width="26.5703125" bestFit="1" customWidth="1"/>
    <col min="48" max="48" width="23.42578125" bestFit="1" customWidth="1"/>
    <col min="49" max="49" width="29.7109375" bestFit="1" customWidth="1"/>
    <col min="50" max="50" width="22.7109375" bestFit="1" customWidth="1"/>
    <col min="53" max="53" width="17" bestFit="1" customWidth="1"/>
    <col min="54" max="54" width="14.42578125" bestFit="1" customWidth="1"/>
    <col min="55" max="55" width="34.42578125" bestFit="1" customWidth="1"/>
    <col min="56" max="56" width="36.28515625" bestFit="1" customWidth="1"/>
    <col min="57" max="57" width="39.42578125" bestFit="1" customWidth="1"/>
    <col min="58" max="58" width="18" bestFit="1" customWidth="1"/>
  </cols>
  <sheetData>
    <row r="1" spans="1:50" s="106" customFormat="1" ht="28.5" customHeight="1">
      <c r="A1" s="77" t="s">
        <v>406</v>
      </c>
      <c r="B1" s="77" t="s">
        <v>411</v>
      </c>
      <c r="C1" s="77" t="s">
        <v>386</v>
      </c>
      <c r="D1" s="77" t="s">
        <v>387</v>
      </c>
      <c r="E1" s="77" t="s">
        <v>412</v>
      </c>
      <c r="F1" s="77" t="s">
        <v>413</v>
      </c>
      <c r="G1" s="77" t="s">
        <v>518</v>
      </c>
      <c r="H1" s="77" t="s">
        <v>385</v>
      </c>
      <c r="I1" s="77" t="s">
        <v>414</v>
      </c>
      <c r="J1" s="77" t="s">
        <v>415</v>
      </c>
      <c r="K1" s="77" t="s">
        <v>1155</v>
      </c>
      <c r="L1" s="77" t="s">
        <v>1054</v>
      </c>
      <c r="M1" s="77" t="s">
        <v>1089</v>
      </c>
      <c r="N1" s="77" t="s">
        <v>1156</v>
      </c>
      <c r="O1" s="77" t="s">
        <v>1157</v>
      </c>
      <c r="P1" s="77" t="s">
        <v>1158</v>
      </c>
      <c r="Q1" s="77" t="s">
        <v>1121</v>
      </c>
      <c r="R1" s="77" t="s">
        <v>1159</v>
      </c>
      <c r="S1" s="77" t="s">
        <v>1160</v>
      </c>
      <c r="T1" s="77" t="s">
        <v>1161</v>
      </c>
      <c r="U1" s="77" t="s">
        <v>1162</v>
      </c>
      <c r="V1" s="77" t="s">
        <v>1163</v>
      </c>
      <c r="W1" s="77" t="s">
        <v>1164</v>
      </c>
      <c r="X1" s="77" t="s">
        <v>1165</v>
      </c>
      <c r="Y1" s="77" t="s">
        <v>1166</v>
      </c>
      <c r="AD1" s="194" t="s">
        <v>1205</v>
      </c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</row>
    <row r="2" spans="1:50">
      <c r="A2" s="29" t="s">
        <v>409</v>
      </c>
      <c r="B2" s="4" t="s">
        <v>141</v>
      </c>
      <c r="C2" s="4" t="s">
        <v>11</v>
      </c>
      <c r="D2" s="4" t="s">
        <v>144</v>
      </c>
      <c r="E2" s="4" t="s">
        <v>462</v>
      </c>
      <c r="F2" s="4" t="s">
        <v>463</v>
      </c>
      <c r="G2" s="4" t="s">
        <v>26</v>
      </c>
      <c r="H2" s="4" t="s">
        <v>153</v>
      </c>
      <c r="I2" s="4" t="s">
        <v>486</v>
      </c>
      <c r="J2" s="4" t="s">
        <v>487</v>
      </c>
      <c r="K2" s="4" t="s">
        <v>1</v>
      </c>
      <c r="L2" s="4" t="s">
        <v>1072</v>
      </c>
      <c r="M2" s="7">
        <v>10</v>
      </c>
      <c r="N2" s="7">
        <v>57</v>
      </c>
      <c r="O2" s="4" t="s">
        <v>1099</v>
      </c>
      <c r="P2" s="4"/>
      <c r="Q2" s="4" t="s">
        <v>1067</v>
      </c>
      <c r="R2" s="4" t="s">
        <v>6</v>
      </c>
      <c r="S2" s="4" t="s">
        <v>420</v>
      </c>
      <c r="T2" s="4" t="s">
        <v>141</v>
      </c>
      <c r="U2" s="4" t="s">
        <v>409</v>
      </c>
      <c r="V2" s="4" t="s">
        <v>145</v>
      </c>
      <c r="W2" s="4" t="s">
        <v>7</v>
      </c>
      <c r="X2" s="4"/>
      <c r="Y2" s="24"/>
      <c r="AB2" t="s">
        <v>946</v>
      </c>
      <c r="AC2" t="s">
        <v>946</v>
      </c>
      <c r="AD2" s="77" t="s">
        <v>1167</v>
      </c>
      <c r="AE2" s="77" t="s">
        <v>1168</v>
      </c>
      <c r="AF2" s="77" t="s">
        <v>1169</v>
      </c>
      <c r="AG2" s="77" t="s">
        <v>1170</v>
      </c>
      <c r="AH2" s="77" t="s">
        <v>1171</v>
      </c>
      <c r="AI2" s="77" t="s">
        <v>1172</v>
      </c>
      <c r="AJ2" s="77" t="s">
        <v>1173</v>
      </c>
      <c r="AK2" s="77" t="s">
        <v>1174</v>
      </c>
      <c r="AL2" s="77" t="s">
        <v>1175</v>
      </c>
      <c r="AM2" s="77" t="s">
        <v>1089</v>
      </c>
      <c r="AN2" s="77" t="s">
        <v>1118</v>
      </c>
      <c r="AO2" s="77" t="s">
        <v>1176</v>
      </c>
      <c r="AP2" s="77" t="s">
        <v>1103</v>
      </c>
      <c r="AQ2" s="77" t="s">
        <v>1177</v>
      </c>
      <c r="AR2" s="77" t="s">
        <v>1178</v>
      </c>
      <c r="AS2" s="77" t="s">
        <v>1179</v>
      </c>
      <c r="AT2" s="77" t="s">
        <v>1180</v>
      </c>
      <c r="AU2" s="77" t="s">
        <v>1181</v>
      </c>
      <c r="AV2" s="77" t="s">
        <v>519</v>
      </c>
      <c r="AW2" s="77" t="s">
        <v>966</v>
      </c>
      <c r="AX2" s="77" t="s">
        <v>1182</v>
      </c>
    </row>
    <row r="3" spans="1:50">
      <c r="A3" s="29" t="s">
        <v>409</v>
      </c>
      <c r="B3" s="4" t="s">
        <v>141</v>
      </c>
      <c r="C3" s="4" t="s">
        <v>11</v>
      </c>
      <c r="D3" s="4" t="s">
        <v>144</v>
      </c>
      <c r="E3" s="4" t="s">
        <v>462</v>
      </c>
      <c r="F3" s="4" t="s">
        <v>463</v>
      </c>
      <c r="G3" s="4" t="s">
        <v>30</v>
      </c>
      <c r="H3" s="4" t="s">
        <v>156</v>
      </c>
      <c r="I3" s="4" t="s">
        <v>494</v>
      </c>
      <c r="J3" s="4" t="s">
        <v>495</v>
      </c>
      <c r="K3" s="4" t="s">
        <v>1</v>
      </c>
      <c r="L3" s="4" t="s">
        <v>1073</v>
      </c>
      <c r="M3" s="7">
        <v>13</v>
      </c>
      <c r="N3" s="7">
        <v>90</v>
      </c>
      <c r="O3" s="4" t="s">
        <v>1099</v>
      </c>
      <c r="P3" s="4"/>
      <c r="Q3" s="4" t="s">
        <v>1067</v>
      </c>
      <c r="R3" s="4" t="s">
        <v>6</v>
      </c>
      <c r="S3" s="4" t="s">
        <v>420</v>
      </c>
      <c r="T3" s="4" t="s">
        <v>141</v>
      </c>
      <c r="U3" s="4" t="s">
        <v>409</v>
      </c>
      <c r="V3" s="4" t="s">
        <v>149</v>
      </c>
      <c r="W3" s="4" t="s">
        <v>2</v>
      </c>
      <c r="X3" s="4"/>
      <c r="Y3" s="24"/>
      <c r="AB3" t="s">
        <v>947</v>
      </c>
      <c r="AC3" t="s">
        <v>947</v>
      </c>
      <c r="AD3" s="29" t="s">
        <v>144</v>
      </c>
      <c r="AE3" s="4" t="s">
        <v>11</v>
      </c>
      <c r="AF3" s="4" t="s">
        <v>462</v>
      </c>
      <c r="AG3" s="4" t="s">
        <v>463</v>
      </c>
      <c r="AH3" s="4" t="s">
        <v>154</v>
      </c>
      <c r="AI3" s="4" t="s">
        <v>12</v>
      </c>
      <c r="AJ3" s="4" t="s">
        <v>516</v>
      </c>
      <c r="AK3" s="4" t="s">
        <v>517</v>
      </c>
      <c r="AL3" s="4" t="s">
        <v>1072</v>
      </c>
      <c r="AM3" s="4">
        <v>2</v>
      </c>
      <c r="AN3" s="4">
        <v>13</v>
      </c>
      <c r="AO3" s="4" t="s">
        <v>1070</v>
      </c>
      <c r="AP3" s="4" t="s">
        <v>13</v>
      </c>
      <c r="AQ3" s="4" t="s">
        <v>507</v>
      </c>
      <c r="AR3" s="4"/>
      <c r="AS3" s="4"/>
      <c r="AT3" s="4"/>
      <c r="AU3" s="4"/>
      <c r="AV3" s="4"/>
      <c r="AW3" s="4"/>
      <c r="AX3" s="24"/>
    </row>
    <row r="4" spans="1:50">
      <c r="A4" s="29" t="s">
        <v>409</v>
      </c>
      <c r="B4" s="4" t="s">
        <v>141</v>
      </c>
      <c r="C4" s="4" t="s">
        <v>11</v>
      </c>
      <c r="D4" s="4" t="s">
        <v>144</v>
      </c>
      <c r="E4" s="4" t="s">
        <v>462</v>
      </c>
      <c r="F4" s="4" t="s">
        <v>463</v>
      </c>
      <c r="G4" s="4" t="s">
        <v>30</v>
      </c>
      <c r="H4" s="4" t="s">
        <v>156</v>
      </c>
      <c r="I4" s="4" t="s">
        <v>494</v>
      </c>
      <c r="J4" s="4" t="s">
        <v>495</v>
      </c>
      <c r="K4" s="4" t="s">
        <v>1</v>
      </c>
      <c r="L4" s="4" t="s">
        <v>1072</v>
      </c>
      <c r="M4" s="7">
        <v>4</v>
      </c>
      <c r="N4" s="7">
        <v>27</v>
      </c>
      <c r="O4" s="4" t="s">
        <v>1099</v>
      </c>
      <c r="P4" s="4"/>
      <c r="Q4" s="4" t="s">
        <v>1067</v>
      </c>
      <c r="R4" s="4" t="s">
        <v>6</v>
      </c>
      <c r="S4" s="4" t="s">
        <v>420</v>
      </c>
      <c r="T4" s="4" t="s">
        <v>141</v>
      </c>
      <c r="U4" s="4" t="s">
        <v>409</v>
      </c>
      <c r="V4" s="4" t="s">
        <v>149</v>
      </c>
      <c r="W4" s="4" t="s">
        <v>2</v>
      </c>
      <c r="X4" s="4"/>
      <c r="Y4" s="24"/>
      <c r="AB4" t="s">
        <v>948</v>
      </c>
      <c r="AC4" t="s">
        <v>948</v>
      </c>
      <c r="AD4" s="29" t="s">
        <v>149</v>
      </c>
      <c r="AE4" s="4" t="s">
        <v>2</v>
      </c>
      <c r="AF4" s="4" t="s">
        <v>431</v>
      </c>
      <c r="AG4" s="4" t="s">
        <v>432</v>
      </c>
      <c r="AH4" s="4" t="s">
        <v>187</v>
      </c>
      <c r="AI4" s="4" t="s">
        <v>14</v>
      </c>
      <c r="AJ4" s="4" t="s">
        <v>439</v>
      </c>
      <c r="AK4" s="4" t="s">
        <v>440</v>
      </c>
      <c r="AL4" s="4" t="s">
        <v>1073</v>
      </c>
      <c r="AM4" s="4">
        <v>3</v>
      </c>
      <c r="AN4" s="4">
        <v>12</v>
      </c>
      <c r="AO4" s="4" t="s">
        <v>1206</v>
      </c>
      <c r="AP4" s="4"/>
      <c r="AQ4" s="4"/>
      <c r="AR4" s="4" t="s">
        <v>143</v>
      </c>
      <c r="AS4" s="4" t="s">
        <v>511</v>
      </c>
      <c r="AT4" s="4"/>
      <c r="AU4" s="4"/>
      <c r="AV4" s="4"/>
      <c r="AW4" s="4"/>
      <c r="AX4" s="24" t="s">
        <v>949</v>
      </c>
    </row>
    <row r="5" spans="1:50">
      <c r="A5" s="29" t="s">
        <v>409</v>
      </c>
      <c r="B5" s="4" t="s">
        <v>141</v>
      </c>
      <c r="C5" s="4" t="s">
        <v>11</v>
      </c>
      <c r="D5" s="4" t="s">
        <v>144</v>
      </c>
      <c r="E5" s="4" t="s">
        <v>462</v>
      </c>
      <c r="F5" s="4" t="s">
        <v>463</v>
      </c>
      <c r="G5" s="4" t="s">
        <v>34</v>
      </c>
      <c r="H5" s="4" t="s">
        <v>150</v>
      </c>
      <c r="I5" s="4" t="s">
        <v>464</v>
      </c>
      <c r="J5" s="4" t="s">
        <v>465</v>
      </c>
      <c r="K5" s="4" t="s">
        <v>1</v>
      </c>
      <c r="L5" s="4" t="s">
        <v>1073</v>
      </c>
      <c r="M5" s="7">
        <v>24</v>
      </c>
      <c r="N5" s="7">
        <v>128</v>
      </c>
      <c r="O5" s="4" t="s">
        <v>1099</v>
      </c>
      <c r="P5" s="4"/>
      <c r="Q5" s="4" t="s">
        <v>1067</v>
      </c>
      <c r="R5" s="4" t="s">
        <v>6</v>
      </c>
      <c r="S5" s="4" t="s">
        <v>420</v>
      </c>
      <c r="T5" s="4" t="s">
        <v>141</v>
      </c>
      <c r="U5" s="4" t="s">
        <v>409</v>
      </c>
      <c r="V5" s="4" t="s">
        <v>148</v>
      </c>
      <c r="W5" s="4" t="s">
        <v>27</v>
      </c>
      <c r="X5" s="4"/>
      <c r="Y5" s="24"/>
      <c r="AB5" t="s">
        <v>950</v>
      </c>
      <c r="AC5" t="s">
        <v>950</v>
      </c>
      <c r="AD5" s="29" t="s">
        <v>149</v>
      </c>
      <c r="AE5" s="4" t="s">
        <v>2</v>
      </c>
      <c r="AF5" s="4" t="s">
        <v>431</v>
      </c>
      <c r="AG5" s="4" t="s">
        <v>432</v>
      </c>
      <c r="AH5" s="4" t="s">
        <v>185</v>
      </c>
      <c r="AI5" s="4" t="s">
        <v>16</v>
      </c>
      <c r="AJ5" s="4" t="s">
        <v>496</v>
      </c>
      <c r="AK5" s="4" t="s">
        <v>497</v>
      </c>
      <c r="AL5" s="4" t="s">
        <v>1072</v>
      </c>
      <c r="AM5" s="4">
        <v>60</v>
      </c>
      <c r="AN5" s="4">
        <v>300</v>
      </c>
      <c r="AO5" s="4" t="s">
        <v>1206</v>
      </c>
      <c r="AP5" s="4"/>
      <c r="AQ5" s="4"/>
      <c r="AR5" s="4" t="s">
        <v>143</v>
      </c>
      <c r="AS5" s="4" t="s">
        <v>511</v>
      </c>
      <c r="AT5" s="4"/>
      <c r="AU5" s="4"/>
      <c r="AV5" s="4"/>
      <c r="AW5" s="4"/>
      <c r="AX5" s="24"/>
    </row>
    <row r="6" spans="1:50">
      <c r="A6" s="29" t="s">
        <v>409</v>
      </c>
      <c r="B6" s="4" t="s">
        <v>141</v>
      </c>
      <c r="C6" s="4" t="s">
        <v>11</v>
      </c>
      <c r="D6" s="4" t="s">
        <v>144</v>
      </c>
      <c r="E6" s="4" t="s">
        <v>462</v>
      </c>
      <c r="F6" s="4" t="s">
        <v>463</v>
      </c>
      <c r="G6" s="4" t="s">
        <v>34</v>
      </c>
      <c r="H6" s="4" t="s">
        <v>150</v>
      </c>
      <c r="I6" s="4" t="s">
        <v>464</v>
      </c>
      <c r="J6" s="4" t="s">
        <v>465</v>
      </c>
      <c r="K6" s="4" t="s">
        <v>1</v>
      </c>
      <c r="L6" s="4" t="s">
        <v>1072</v>
      </c>
      <c r="M6" s="7">
        <v>16</v>
      </c>
      <c r="N6" s="7">
        <v>142</v>
      </c>
      <c r="O6" s="4" t="s">
        <v>1099</v>
      </c>
      <c r="P6" s="4"/>
      <c r="Q6" s="4" t="s">
        <v>1067</v>
      </c>
      <c r="R6" s="4" t="s">
        <v>6</v>
      </c>
      <c r="S6" s="4" t="s">
        <v>420</v>
      </c>
      <c r="T6" s="4" t="s">
        <v>141</v>
      </c>
      <c r="U6" s="4" t="s">
        <v>409</v>
      </c>
      <c r="V6" s="4" t="s">
        <v>148</v>
      </c>
      <c r="W6" s="4" t="s">
        <v>27</v>
      </c>
      <c r="X6" s="4"/>
      <c r="Y6" s="24"/>
      <c r="AB6" t="s">
        <v>950</v>
      </c>
      <c r="AC6" t="s">
        <v>950</v>
      </c>
      <c r="AD6" s="29" t="s">
        <v>149</v>
      </c>
      <c r="AE6" s="4" t="s">
        <v>2</v>
      </c>
      <c r="AF6" s="4" t="s">
        <v>431</v>
      </c>
      <c r="AG6" s="4" t="s">
        <v>432</v>
      </c>
      <c r="AH6" s="4" t="s">
        <v>185</v>
      </c>
      <c r="AI6" s="4" t="s">
        <v>16</v>
      </c>
      <c r="AJ6" s="4" t="s">
        <v>496</v>
      </c>
      <c r="AK6" s="4" t="s">
        <v>497</v>
      </c>
      <c r="AL6" s="4" t="s">
        <v>1075</v>
      </c>
      <c r="AM6" s="4">
        <v>20</v>
      </c>
      <c r="AN6" s="4">
        <v>100</v>
      </c>
      <c r="AO6" s="4" t="s">
        <v>1206</v>
      </c>
      <c r="AP6" s="4"/>
      <c r="AQ6" s="4"/>
      <c r="AR6" s="4" t="s">
        <v>143</v>
      </c>
      <c r="AS6" s="4" t="s">
        <v>511</v>
      </c>
      <c r="AT6" s="4"/>
      <c r="AU6" s="4"/>
      <c r="AV6" s="4"/>
      <c r="AW6" s="4"/>
      <c r="AX6" s="24"/>
    </row>
    <row r="7" spans="1:50">
      <c r="A7" s="29" t="s">
        <v>409</v>
      </c>
      <c r="B7" s="4" t="s">
        <v>141</v>
      </c>
      <c r="C7" s="4" t="s">
        <v>11</v>
      </c>
      <c r="D7" s="4" t="s">
        <v>144</v>
      </c>
      <c r="E7" s="4" t="s">
        <v>462</v>
      </c>
      <c r="F7" s="4" t="s">
        <v>463</v>
      </c>
      <c r="G7" s="4" t="s">
        <v>24</v>
      </c>
      <c r="H7" s="4" t="s">
        <v>151</v>
      </c>
      <c r="I7" s="4" t="s">
        <v>466</v>
      </c>
      <c r="J7" s="4" t="s">
        <v>467</v>
      </c>
      <c r="K7" s="4" t="s">
        <v>1</v>
      </c>
      <c r="L7" s="4" t="s">
        <v>1076</v>
      </c>
      <c r="M7" s="7">
        <v>7</v>
      </c>
      <c r="N7" s="7">
        <v>36</v>
      </c>
      <c r="O7" s="4" t="s">
        <v>1099</v>
      </c>
      <c r="P7" s="4"/>
      <c r="Q7" s="4" t="s">
        <v>1067</v>
      </c>
      <c r="R7" s="4" t="s">
        <v>6</v>
      </c>
      <c r="S7" s="4" t="s">
        <v>420</v>
      </c>
      <c r="T7" s="4" t="s">
        <v>141</v>
      </c>
      <c r="U7" s="4" t="s">
        <v>409</v>
      </c>
      <c r="V7" s="4" t="s">
        <v>148</v>
      </c>
      <c r="W7" s="4" t="s">
        <v>27</v>
      </c>
      <c r="X7" s="4"/>
      <c r="Y7" s="24"/>
      <c r="AB7" t="s">
        <v>950</v>
      </c>
      <c r="AC7" t="s">
        <v>950</v>
      </c>
      <c r="AD7" s="29" t="s">
        <v>149</v>
      </c>
      <c r="AE7" s="4" t="s">
        <v>2</v>
      </c>
      <c r="AF7" s="4" t="s">
        <v>431</v>
      </c>
      <c r="AG7" s="4" t="s">
        <v>432</v>
      </c>
      <c r="AH7" s="4" t="s">
        <v>185</v>
      </c>
      <c r="AI7" s="4" t="s">
        <v>16</v>
      </c>
      <c r="AJ7" s="4" t="s">
        <v>496</v>
      </c>
      <c r="AK7" s="4" t="s">
        <v>497</v>
      </c>
      <c r="AL7" s="4" t="s">
        <v>1077</v>
      </c>
      <c r="AM7" s="4">
        <v>19</v>
      </c>
      <c r="AN7" s="4">
        <v>95</v>
      </c>
      <c r="AO7" s="4" t="s">
        <v>1206</v>
      </c>
      <c r="AP7" s="4"/>
      <c r="AQ7" s="4"/>
      <c r="AR7" s="4" t="s">
        <v>143</v>
      </c>
      <c r="AS7" s="4" t="s">
        <v>511</v>
      </c>
      <c r="AT7" s="4"/>
      <c r="AU7" s="4"/>
      <c r="AV7" s="4"/>
      <c r="AW7" s="4"/>
      <c r="AX7" s="24"/>
    </row>
    <row r="8" spans="1:50">
      <c r="A8" s="29" t="s">
        <v>409</v>
      </c>
      <c r="B8" s="4" t="s">
        <v>141</v>
      </c>
      <c r="C8" s="4" t="s">
        <v>11</v>
      </c>
      <c r="D8" s="4" t="s">
        <v>144</v>
      </c>
      <c r="E8" s="4" t="s">
        <v>462</v>
      </c>
      <c r="F8" s="4" t="s">
        <v>463</v>
      </c>
      <c r="G8" s="4" t="s">
        <v>24</v>
      </c>
      <c r="H8" s="4" t="s">
        <v>151</v>
      </c>
      <c r="I8" s="4" t="s">
        <v>466</v>
      </c>
      <c r="J8" s="4" t="s">
        <v>467</v>
      </c>
      <c r="K8" s="4" t="s">
        <v>1</v>
      </c>
      <c r="L8" s="4" t="s">
        <v>1072</v>
      </c>
      <c r="M8" s="7">
        <v>29</v>
      </c>
      <c r="N8" s="7">
        <v>151</v>
      </c>
      <c r="O8" s="4" t="s">
        <v>1099</v>
      </c>
      <c r="P8" s="4"/>
      <c r="Q8" s="4" t="s">
        <v>1067</v>
      </c>
      <c r="R8" s="4" t="s">
        <v>6</v>
      </c>
      <c r="S8" s="4" t="s">
        <v>420</v>
      </c>
      <c r="T8" s="4" t="s">
        <v>141</v>
      </c>
      <c r="U8" s="4" t="s">
        <v>409</v>
      </c>
      <c r="V8" s="4" t="s">
        <v>148</v>
      </c>
      <c r="W8" s="4" t="s">
        <v>27</v>
      </c>
      <c r="X8" s="4"/>
      <c r="Y8" s="24"/>
      <c r="AB8" t="s">
        <v>951</v>
      </c>
      <c r="AC8" t="s">
        <v>951</v>
      </c>
      <c r="AD8" s="29" t="s">
        <v>149</v>
      </c>
      <c r="AE8" s="4" t="s">
        <v>2</v>
      </c>
      <c r="AF8" s="4" t="s">
        <v>431</v>
      </c>
      <c r="AG8" s="4" t="s">
        <v>432</v>
      </c>
      <c r="AH8" s="4" t="s">
        <v>186</v>
      </c>
      <c r="AI8" s="4" t="s">
        <v>410</v>
      </c>
      <c r="AJ8" s="4" t="s">
        <v>482</v>
      </c>
      <c r="AK8" s="4" t="s">
        <v>483</v>
      </c>
      <c r="AL8" s="4" t="s">
        <v>1072</v>
      </c>
      <c r="AM8" s="4">
        <v>13</v>
      </c>
      <c r="AN8" s="4">
        <v>39</v>
      </c>
      <c r="AO8" s="4" t="s">
        <v>1206</v>
      </c>
      <c r="AP8" s="4"/>
      <c r="AQ8" s="4"/>
      <c r="AR8" s="4" t="s">
        <v>143</v>
      </c>
      <c r="AS8" s="4" t="s">
        <v>511</v>
      </c>
      <c r="AT8" s="4"/>
      <c r="AU8" s="4"/>
      <c r="AV8" s="4"/>
      <c r="AW8" s="4"/>
      <c r="AX8" s="24"/>
    </row>
    <row r="9" spans="1:50">
      <c r="A9" s="29" t="s">
        <v>409</v>
      </c>
      <c r="B9" s="4" t="s">
        <v>141</v>
      </c>
      <c r="C9" s="4" t="s">
        <v>11</v>
      </c>
      <c r="D9" s="4" t="s">
        <v>144</v>
      </c>
      <c r="E9" s="4" t="s">
        <v>462</v>
      </c>
      <c r="F9" s="4" t="s">
        <v>463</v>
      </c>
      <c r="G9" s="4" t="s">
        <v>24</v>
      </c>
      <c r="H9" s="4" t="s">
        <v>151</v>
      </c>
      <c r="I9" s="4" t="s">
        <v>466</v>
      </c>
      <c r="J9" s="4" t="s">
        <v>467</v>
      </c>
      <c r="K9" s="4" t="s">
        <v>1</v>
      </c>
      <c r="L9" s="4" t="s">
        <v>1073</v>
      </c>
      <c r="M9" s="7">
        <v>35</v>
      </c>
      <c r="N9" s="7">
        <v>178</v>
      </c>
      <c r="O9" s="4" t="s">
        <v>1099</v>
      </c>
      <c r="P9" s="4"/>
      <c r="Q9" s="4" t="s">
        <v>1067</v>
      </c>
      <c r="R9" s="4" t="s">
        <v>6</v>
      </c>
      <c r="S9" s="4" t="s">
        <v>420</v>
      </c>
      <c r="T9" s="4" t="s">
        <v>141</v>
      </c>
      <c r="U9" s="4" t="s">
        <v>409</v>
      </c>
      <c r="V9" s="4" t="s">
        <v>148</v>
      </c>
      <c r="W9" s="4" t="s">
        <v>27</v>
      </c>
      <c r="X9" s="4"/>
      <c r="Y9" s="24"/>
      <c r="AB9" t="s">
        <v>952</v>
      </c>
      <c r="AC9" t="s">
        <v>952</v>
      </c>
      <c r="AD9" s="29" t="s">
        <v>146</v>
      </c>
      <c r="AE9" s="4" t="s">
        <v>10</v>
      </c>
      <c r="AF9" s="4" t="s">
        <v>448</v>
      </c>
      <c r="AG9" s="4" t="s">
        <v>449</v>
      </c>
      <c r="AH9" s="4" t="s">
        <v>171</v>
      </c>
      <c r="AI9" s="4" t="s">
        <v>20</v>
      </c>
      <c r="AJ9" s="4" t="s">
        <v>450</v>
      </c>
      <c r="AK9" s="4" t="s">
        <v>451</v>
      </c>
      <c r="AL9" s="4" t="s">
        <v>1074</v>
      </c>
      <c r="AM9" s="4">
        <v>20</v>
      </c>
      <c r="AN9" s="4">
        <v>85</v>
      </c>
      <c r="AO9" s="4" t="s">
        <v>1206</v>
      </c>
      <c r="AP9" s="4"/>
      <c r="AQ9" s="4"/>
      <c r="AR9" s="4" t="s">
        <v>512</v>
      </c>
      <c r="AS9" s="4" t="s">
        <v>513</v>
      </c>
      <c r="AT9" s="4"/>
      <c r="AU9" s="4"/>
      <c r="AV9" s="4"/>
      <c r="AW9" s="4"/>
      <c r="AX9" s="24"/>
    </row>
    <row r="10" spans="1:50">
      <c r="A10" s="29" t="s">
        <v>409</v>
      </c>
      <c r="B10" s="4" t="s">
        <v>141</v>
      </c>
      <c r="C10" s="4" t="s">
        <v>11</v>
      </c>
      <c r="D10" s="4" t="s">
        <v>144</v>
      </c>
      <c r="E10" s="4" t="s">
        <v>462</v>
      </c>
      <c r="F10" s="4" t="s">
        <v>463</v>
      </c>
      <c r="G10" s="4" t="s">
        <v>23</v>
      </c>
      <c r="H10" s="4" t="s">
        <v>155</v>
      </c>
      <c r="I10" s="4" t="s">
        <v>488</v>
      </c>
      <c r="J10" s="4" t="s">
        <v>489</v>
      </c>
      <c r="K10" s="4" t="s">
        <v>1</v>
      </c>
      <c r="L10" s="4" t="s">
        <v>1073</v>
      </c>
      <c r="M10" s="7">
        <v>20</v>
      </c>
      <c r="N10" s="7">
        <v>105</v>
      </c>
      <c r="O10" s="4" t="s">
        <v>1099</v>
      </c>
      <c r="P10" s="4"/>
      <c r="Q10" s="4" t="s">
        <v>1067</v>
      </c>
      <c r="R10" s="4" t="s">
        <v>6</v>
      </c>
      <c r="S10" s="4" t="s">
        <v>420</v>
      </c>
      <c r="T10" s="4" t="s">
        <v>141</v>
      </c>
      <c r="U10" s="4" t="s">
        <v>409</v>
      </c>
      <c r="V10" s="4" t="s">
        <v>145</v>
      </c>
      <c r="W10" s="4" t="s">
        <v>7</v>
      </c>
      <c r="X10" s="4"/>
      <c r="Y10" s="24"/>
      <c r="AB10" t="s">
        <v>952</v>
      </c>
      <c r="AC10" t="s">
        <v>952</v>
      </c>
      <c r="AD10" s="29" t="s">
        <v>146</v>
      </c>
      <c r="AE10" s="4" t="s">
        <v>10</v>
      </c>
      <c r="AF10" s="4" t="s">
        <v>448</v>
      </c>
      <c r="AG10" s="4" t="s">
        <v>449</v>
      </c>
      <c r="AH10" s="4" t="s">
        <v>171</v>
      </c>
      <c r="AI10" s="4" t="s">
        <v>20</v>
      </c>
      <c r="AJ10" s="4" t="s">
        <v>450</v>
      </c>
      <c r="AK10" s="4" t="s">
        <v>451</v>
      </c>
      <c r="AL10" s="4" t="s">
        <v>1072</v>
      </c>
      <c r="AM10" s="4">
        <v>19</v>
      </c>
      <c r="AN10" s="4">
        <v>76</v>
      </c>
      <c r="AO10" s="4" t="s">
        <v>1206</v>
      </c>
      <c r="AP10" s="4"/>
      <c r="AQ10" s="4"/>
      <c r="AR10" s="4" t="s">
        <v>512</v>
      </c>
      <c r="AS10" s="4" t="s">
        <v>513</v>
      </c>
      <c r="AT10" s="4"/>
      <c r="AU10" s="4"/>
      <c r="AV10" s="4"/>
      <c r="AW10" s="4"/>
      <c r="AX10" s="24"/>
    </row>
    <row r="11" spans="1:50">
      <c r="A11" s="29" t="s">
        <v>409</v>
      </c>
      <c r="B11" s="4" t="s">
        <v>141</v>
      </c>
      <c r="C11" s="4" t="s">
        <v>11</v>
      </c>
      <c r="D11" s="4" t="s">
        <v>144</v>
      </c>
      <c r="E11" s="4" t="s">
        <v>462</v>
      </c>
      <c r="F11" s="4" t="s">
        <v>463</v>
      </c>
      <c r="G11" s="4" t="s">
        <v>133</v>
      </c>
      <c r="H11" s="4" t="s">
        <v>152</v>
      </c>
      <c r="I11" s="4" t="s">
        <v>468</v>
      </c>
      <c r="J11" s="4" t="s">
        <v>469</v>
      </c>
      <c r="K11" s="4" t="s">
        <v>1</v>
      </c>
      <c r="L11" s="4" t="s">
        <v>1073</v>
      </c>
      <c r="M11" s="7">
        <v>386</v>
      </c>
      <c r="N11" s="7">
        <v>2696</v>
      </c>
      <c r="O11" s="4" t="s">
        <v>1099</v>
      </c>
      <c r="P11" s="4"/>
      <c r="Q11" s="4" t="s">
        <v>1067</v>
      </c>
      <c r="R11" s="4" t="s">
        <v>6</v>
      </c>
      <c r="S11" s="4" t="s">
        <v>420</v>
      </c>
      <c r="T11" s="4" t="s">
        <v>141</v>
      </c>
      <c r="U11" s="4" t="s">
        <v>409</v>
      </c>
      <c r="V11" s="4" t="s">
        <v>148</v>
      </c>
      <c r="W11" s="4" t="s">
        <v>27</v>
      </c>
      <c r="X11" s="4"/>
      <c r="Y11" s="24"/>
      <c r="AB11" t="s">
        <v>953</v>
      </c>
      <c r="AC11" t="s">
        <v>953</v>
      </c>
      <c r="AD11" s="29" t="s">
        <v>145</v>
      </c>
      <c r="AE11" s="4" t="s">
        <v>7</v>
      </c>
      <c r="AF11" s="4" t="s">
        <v>416</v>
      </c>
      <c r="AG11" s="4" t="s">
        <v>417</v>
      </c>
      <c r="AH11" s="4" t="s">
        <v>160</v>
      </c>
      <c r="AI11" s="4" t="s">
        <v>9</v>
      </c>
      <c r="AJ11" s="4" t="s">
        <v>446</v>
      </c>
      <c r="AK11" s="4" t="s">
        <v>447</v>
      </c>
      <c r="AL11" s="4" t="s">
        <v>1076</v>
      </c>
      <c r="AM11" s="4">
        <v>105</v>
      </c>
      <c r="AN11" s="4">
        <v>525</v>
      </c>
      <c r="AO11" s="4" t="s">
        <v>1067</v>
      </c>
      <c r="AP11" s="4"/>
      <c r="AQ11" s="4"/>
      <c r="AR11" s="4"/>
      <c r="AS11" s="4"/>
      <c r="AT11" s="4" t="s">
        <v>146</v>
      </c>
      <c r="AU11" s="4" t="s">
        <v>10</v>
      </c>
      <c r="AV11" s="4"/>
      <c r="AW11" s="4"/>
      <c r="AX11" s="24"/>
    </row>
    <row r="12" spans="1:50">
      <c r="A12" s="29" t="s">
        <v>409</v>
      </c>
      <c r="B12" s="4" t="s">
        <v>141</v>
      </c>
      <c r="C12" s="4" t="s">
        <v>11</v>
      </c>
      <c r="D12" s="4" t="s">
        <v>144</v>
      </c>
      <c r="E12" s="4" t="s">
        <v>462</v>
      </c>
      <c r="F12" s="4" t="s">
        <v>463</v>
      </c>
      <c r="G12" s="4" t="s">
        <v>12</v>
      </c>
      <c r="H12" s="4" t="s">
        <v>154</v>
      </c>
      <c r="I12" s="4" t="s">
        <v>516</v>
      </c>
      <c r="J12" s="4" t="s">
        <v>517</v>
      </c>
      <c r="K12" s="4" t="s">
        <v>1066</v>
      </c>
      <c r="L12" s="4" t="s">
        <v>1077</v>
      </c>
      <c r="M12" s="7">
        <v>5</v>
      </c>
      <c r="N12" s="7">
        <v>24</v>
      </c>
      <c r="O12" s="4"/>
      <c r="P12" s="4"/>
      <c r="Q12" s="4" t="s">
        <v>1070</v>
      </c>
      <c r="R12" s="4" t="s">
        <v>13</v>
      </c>
      <c r="S12" s="4" t="s">
        <v>507</v>
      </c>
      <c r="T12" s="4" t="s">
        <v>404</v>
      </c>
      <c r="U12" s="4"/>
      <c r="V12" s="4"/>
      <c r="W12" s="4"/>
      <c r="X12" s="4"/>
      <c r="Y12" s="24"/>
      <c r="AB12" t="s">
        <v>954</v>
      </c>
      <c r="AC12" t="s">
        <v>954</v>
      </c>
      <c r="AD12" s="29" t="s">
        <v>147</v>
      </c>
      <c r="AE12" s="4" t="s">
        <v>4</v>
      </c>
      <c r="AF12" s="4" t="s">
        <v>472</v>
      </c>
      <c r="AG12" s="4" t="s">
        <v>473</v>
      </c>
      <c r="AH12" s="4" t="s">
        <v>174</v>
      </c>
      <c r="AI12" s="4" t="s">
        <v>5</v>
      </c>
      <c r="AJ12" s="4" t="s">
        <v>505</v>
      </c>
      <c r="AK12" s="4" t="s">
        <v>506</v>
      </c>
      <c r="AL12" s="4" t="s">
        <v>1074</v>
      </c>
      <c r="AM12" s="4">
        <v>30</v>
      </c>
      <c r="AN12" s="4">
        <v>150</v>
      </c>
      <c r="AO12" s="4" t="s">
        <v>1067</v>
      </c>
      <c r="AP12" s="4"/>
      <c r="AQ12" s="4"/>
      <c r="AR12" s="4"/>
      <c r="AS12" s="4"/>
      <c r="AT12" s="4" t="s">
        <v>146</v>
      </c>
      <c r="AU12" s="4" t="s">
        <v>10</v>
      </c>
      <c r="AV12" s="4"/>
      <c r="AW12" s="4"/>
      <c r="AX12" s="24" t="s">
        <v>955</v>
      </c>
    </row>
    <row r="13" spans="1:50">
      <c r="A13" s="29" t="s">
        <v>409</v>
      </c>
      <c r="B13" s="4" t="s">
        <v>141</v>
      </c>
      <c r="C13" s="4" t="s">
        <v>11</v>
      </c>
      <c r="D13" s="4" t="s">
        <v>144</v>
      </c>
      <c r="E13" s="4" t="s">
        <v>462</v>
      </c>
      <c r="F13" s="4" t="s">
        <v>463</v>
      </c>
      <c r="G13" s="4" t="s">
        <v>12</v>
      </c>
      <c r="H13" s="4" t="s">
        <v>154</v>
      </c>
      <c r="I13" s="4" t="s">
        <v>516</v>
      </c>
      <c r="J13" s="4" t="s">
        <v>517</v>
      </c>
      <c r="K13" s="4" t="s">
        <v>1066</v>
      </c>
      <c r="L13" s="4" t="s">
        <v>1073</v>
      </c>
      <c r="M13" s="7">
        <v>26</v>
      </c>
      <c r="N13" s="7">
        <v>144</v>
      </c>
      <c r="O13" s="4"/>
      <c r="P13" s="4"/>
      <c r="Q13" s="4" t="s">
        <v>1070</v>
      </c>
      <c r="R13" s="4" t="s">
        <v>403</v>
      </c>
      <c r="S13" s="4" t="s">
        <v>502</v>
      </c>
      <c r="T13" s="4" t="s">
        <v>1224</v>
      </c>
      <c r="U13" s="4"/>
      <c r="V13" s="4"/>
      <c r="W13" s="4"/>
      <c r="X13" s="4"/>
      <c r="Y13" s="24"/>
      <c r="AB13" t="s">
        <v>956</v>
      </c>
      <c r="AC13" t="s">
        <v>956</v>
      </c>
      <c r="AD13" s="29" t="s">
        <v>145</v>
      </c>
      <c r="AE13" s="4" t="s">
        <v>7</v>
      </c>
      <c r="AF13" s="4" t="s">
        <v>416</v>
      </c>
      <c r="AG13" s="4" t="s">
        <v>417</v>
      </c>
      <c r="AH13" s="4" t="s">
        <v>163</v>
      </c>
      <c r="AI13" s="4" t="s">
        <v>15</v>
      </c>
      <c r="AJ13" s="4" t="s">
        <v>444</v>
      </c>
      <c r="AK13" s="4" t="s">
        <v>445</v>
      </c>
      <c r="AL13" s="4" t="s">
        <v>1074</v>
      </c>
      <c r="AM13" s="4">
        <v>37</v>
      </c>
      <c r="AN13" s="4">
        <v>185</v>
      </c>
      <c r="AO13" s="4" t="s">
        <v>1069</v>
      </c>
      <c r="AP13" s="4"/>
      <c r="AQ13" s="4"/>
      <c r="AR13" s="4"/>
      <c r="AS13" s="4"/>
      <c r="AT13" s="4"/>
      <c r="AU13" s="4"/>
      <c r="AV13" s="4" t="s">
        <v>158</v>
      </c>
      <c r="AW13" s="4" t="s">
        <v>18</v>
      </c>
      <c r="AX13" s="24"/>
    </row>
    <row r="14" spans="1:50">
      <c r="A14" s="29" t="s">
        <v>409</v>
      </c>
      <c r="B14" s="4" t="s">
        <v>141</v>
      </c>
      <c r="C14" s="4" t="s">
        <v>7</v>
      </c>
      <c r="D14" s="4" t="s">
        <v>145</v>
      </c>
      <c r="E14" s="4" t="s">
        <v>416</v>
      </c>
      <c r="F14" s="4" t="s">
        <v>417</v>
      </c>
      <c r="G14" s="4" t="s">
        <v>18</v>
      </c>
      <c r="H14" s="4" t="s">
        <v>158</v>
      </c>
      <c r="I14" s="4" t="s">
        <v>418</v>
      </c>
      <c r="J14" s="4" t="s">
        <v>419</v>
      </c>
      <c r="K14" s="4" t="s">
        <v>1</v>
      </c>
      <c r="L14" s="4" t="s">
        <v>1074</v>
      </c>
      <c r="M14" s="7">
        <v>186</v>
      </c>
      <c r="N14" s="7">
        <v>1783</v>
      </c>
      <c r="O14" s="4" t="s">
        <v>1078</v>
      </c>
      <c r="P14" s="4"/>
      <c r="Q14" s="4" t="s">
        <v>1068</v>
      </c>
      <c r="R14" s="4" t="s">
        <v>6</v>
      </c>
      <c r="S14" s="4" t="s">
        <v>420</v>
      </c>
      <c r="T14" s="4" t="s">
        <v>141</v>
      </c>
      <c r="U14" s="4" t="s">
        <v>409</v>
      </c>
      <c r="V14" s="4" t="s">
        <v>145</v>
      </c>
      <c r="W14" s="4" t="s">
        <v>7</v>
      </c>
      <c r="X14" s="4"/>
      <c r="Y14" s="24"/>
      <c r="AB14" t="s">
        <v>957</v>
      </c>
      <c r="AC14" t="s">
        <v>957</v>
      </c>
      <c r="AD14" s="29" t="s">
        <v>145</v>
      </c>
      <c r="AE14" s="4" t="s">
        <v>7</v>
      </c>
      <c r="AF14" s="4" t="s">
        <v>416</v>
      </c>
      <c r="AG14" s="4" t="s">
        <v>417</v>
      </c>
      <c r="AH14" s="4" t="s">
        <v>166</v>
      </c>
      <c r="AI14" s="4" t="s">
        <v>135</v>
      </c>
      <c r="AJ14" s="4" t="s">
        <v>441</v>
      </c>
      <c r="AK14" s="4" t="s">
        <v>442</v>
      </c>
      <c r="AL14" s="4" t="s">
        <v>1073</v>
      </c>
      <c r="AM14" s="4">
        <v>148</v>
      </c>
      <c r="AN14" s="4">
        <v>1025</v>
      </c>
      <c r="AO14" s="4" t="s">
        <v>1069</v>
      </c>
      <c r="AP14" s="4"/>
      <c r="AQ14" s="4"/>
      <c r="AR14" s="4"/>
      <c r="AS14" s="4"/>
      <c r="AT14" s="4"/>
      <c r="AU14" s="4"/>
      <c r="AV14" s="4" t="s">
        <v>164</v>
      </c>
      <c r="AW14" s="4" t="s">
        <v>21</v>
      </c>
      <c r="AX14" s="24"/>
    </row>
    <row r="15" spans="1:50">
      <c r="A15" s="29" t="s">
        <v>409</v>
      </c>
      <c r="B15" s="4" t="s">
        <v>141</v>
      </c>
      <c r="C15" s="4" t="s">
        <v>7</v>
      </c>
      <c r="D15" s="4" t="s">
        <v>145</v>
      </c>
      <c r="E15" s="4" t="s">
        <v>416</v>
      </c>
      <c r="F15" s="4" t="s">
        <v>417</v>
      </c>
      <c r="G15" s="4" t="s">
        <v>18</v>
      </c>
      <c r="H15" s="4" t="s">
        <v>158</v>
      </c>
      <c r="I15" s="4" t="s">
        <v>418</v>
      </c>
      <c r="J15" s="4" t="s">
        <v>419</v>
      </c>
      <c r="K15" s="4" t="s">
        <v>1</v>
      </c>
      <c r="L15" s="4" t="s">
        <v>1072</v>
      </c>
      <c r="M15" s="7">
        <v>212</v>
      </c>
      <c r="N15" s="7">
        <v>2274</v>
      </c>
      <c r="O15" s="4" t="s">
        <v>1099</v>
      </c>
      <c r="P15" s="4"/>
      <c r="Q15" s="4" t="s">
        <v>1069</v>
      </c>
      <c r="R15" s="4" t="s">
        <v>6</v>
      </c>
      <c r="S15" s="4" t="s">
        <v>420</v>
      </c>
      <c r="T15" s="4" t="s">
        <v>141</v>
      </c>
      <c r="U15" s="4" t="s">
        <v>409</v>
      </c>
      <c r="V15" s="4" t="s">
        <v>145</v>
      </c>
      <c r="W15" s="4" t="s">
        <v>7</v>
      </c>
      <c r="X15" s="4" t="s">
        <v>164</v>
      </c>
      <c r="Y15" s="24" t="s">
        <v>21</v>
      </c>
      <c r="AB15" t="s">
        <v>957</v>
      </c>
      <c r="AC15" t="s">
        <v>957</v>
      </c>
      <c r="AD15" s="29" t="s">
        <v>145</v>
      </c>
      <c r="AE15" s="4" t="s">
        <v>7</v>
      </c>
      <c r="AF15" s="4" t="s">
        <v>416</v>
      </c>
      <c r="AG15" s="4" t="s">
        <v>417</v>
      </c>
      <c r="AH15" s="4" t="s">
        <v>166</v>
      </c>
      <c r="AI15" s="4" t="s">
        <v>135</v>
      </c>
      <c r="AJ15" s="4" t="s">
        <v>441</v>
      </c>
      <c r="AK15" s="4" t="s">
        <v>442</v>
      </c>
      <c r="AL15" s="4" t="s">
        <v>1072</v>
      </c>
      <c r="AM15" s="4">
        <v>354</v>
      </c>
      <c r="AN15" s="4">
        <v>2483</v>
      </c>
      <c r="AO15" s="4" t="s">
        <v>1069</v>
      </c>
      <c r="AP15" s="4"/>
      <c r="AQ15" s="4"/>
      <c r="AR15" s="4"/>
      <c r="AS15" s="4"/>
      <c r="AT15" s="4"/>
      <c r="AU15" s="4"/>
      <c r="AV15" s="4" t="s">
        <v>164</v>
      </c>
      <c r="AW15" s="4" t="s">
        <v>21</v>
      </c>
      <c r="AX15" s="24"/>
    </row>
    <row r="16" spans="1:50">
      <c r="A16" s="29" t="s">
        <v>409</v>
      </c>
      <c r="B16" s="4" t="s">
        <v>141</v>
      </c>
      <c r="C16" s="4" t="s">
        <v>7</v>
      </c>
      <c r="D16" s="4" t="s">
        <v>145</v>
      </c>
      <c r="E16" s="4" t="s">
        <v>416</v>
      </c>
      <c r="F16" s="4" t="s">
        <v>417</v>
      </c>
      <c r="G16" s="4" t="s">
        <v>18</v>
      </c>
      <c r="H16" s="4" t="s">
        <v>158</v>
      </c>
      <c r="I16" s="4" t="s">
        <v>418</v>
      </c>
      <c r="J16" s="4" t="s">
        <v>419</v>
      </c>
      <c r="K16" s="4" t="s">
        <v>1</v>
      </c>
      <c r="L16" s="4" t="s">
        <v>1073</v>
      </c>
      <c r="M16" s="7">
        <v>586</v>
      </c>
      <c r="N16" s="7">
        <v>2831</v>
      </c>
      <c r="O16" s="4" t="s">
        <v>1099</v>
      </c>
      <c r="P16" s="4"/>
      <c r="Q16" s="4" t="s">
        <v>1069</v>
      </c>
      <c r="R16" s="4" t="s">
        <v>6</v>
      </c>
      <c r="S16" s="4" t="s">
        <v>420</v>
      </c>
      <c r="T16" s="4" t="s">
        <v>141</v>
      </c>
      <c r="U16" s="4" t="s">
        <v>409</v>
      </c>
      <c r="V16" s="4" t="s">
        <v>145</v>
      </c>
      <c r="W16" s="4" t="s">
        <v>7</v>
      </c>
      <c r="X16" s="4" t="s">
        <v>164</v>
      </c>
      <c r="Y16" s="24" t="s">
        <v>21</v>
      </c>
      <c r="AB16" t="s">
        <v>957</v>
      </c>
      <c r="AC16" t="s">
        <v>957</v>
      </c>
      <c r="AD16" s="29" t="s">
        <v>145</v>
      </c>
      <c r="AE16" s="4" t="s">
        <v>7</v>
      </c>
      <c r="AF16" s="4" t="s">
        <v>416</v>
      </c>
      <c r="AG16" s="4" t="s">
        <v>417</v>
      </c>
      <c r="AH16" s="4" t="s">
        <v>166</v>
      </c>
      <c r="AI16" s="4" t="s">
        <v>135</v>
      </c>
      <c r="AJ16" s="4" t="s">
        <v>441</v>
      </c>
      <c r="AK16" s="4" t="s">
        <v>442</v>
      </c>
      <c r="AL16" s="4" t="s">
        <v>1075</v>
      </c>
      <c r="AM16" s="4">
        <v>85</v>
      </c>
      <c r="AN16" s="4">
        <v>605</v>
      </c>
      <c r="AO16" s="4" t="s">
        <v>1069</v>
      </c>
      <c r="AP16" s="4"/>
      <c r="AQ16" s="4"/>
      <c r="AR16" s="4"/>
      <c r="AS16" s="4"/>
      <c r="AT16" s="4"/>
      <c r="AU16" s="4"/>
      <c r="AV16" s="4" t="s">
        <v>164</v>
      </c>
      <c r="AW16" s="4" t="s">
        <v>21</v>
      </c>
      <c r="AX16" s="24"/>
    </row>
    <row r="17" spans="1:50">
      <c r="A17" s="29" t="s">
        <v>409</v>
      </c>
      <c r="B17" s="4" t="s">
        <v>141</v>
      </c>
      <c r="C17" s="4" t="s">
        <v>7</v>
      </c>
      <c r="D17" s="4" t="s">
        <v>145</v>
      </c>
      <c r="E17" s="4" t="s">
        <v>416</v>
      </c>
      <c r="F17" s="4" t="s">
        <v>417</v>
      </c>
      <c r="G17" s="4" t="s">
        <v>15</v>
      </c>
      <c r="H17" s="4" t="s">
        <v>163</v>
      </c>
      <c r="I17" s="4" t="s">
        <v>444</v>
      </c>
      <c r="J17" s="4" t="s">
        <v>445</v>
      </c>
      <c r="K17" s="4" t="s">
        <v>1</v>
      </c>
      <c r="L17" s="4" t="s">
        <v>1075</v>
      </c>
      <c r="M17" s="7">
        <v>504</v>
      </c>
      <c r="N17" s="7">
        <v>2520</v>
      </c>
      <c r="O17" s="4" t="s">
        <v>1099</v>
      </c>
      <c r="P17" s="4"/>
      <c r="Q17" s="4" t="s">
        <v>1068</v>
      </c>
      <c r="R17" s="4" t="s">
        <v>6</v>
      </c>
      <c r="S17" s="4" t="s">
        <v>420</v>
      </c>
      <c r="T17" s="4" t="s">
        <v>141</v>
      </c>
      <c r="U17" s="4" t="s">
        <v>409</v>
      </c>
      <c r="V17" s="4" t="s">
        <v>145</v>
      </c>
      <c r="W17" s="4" t="s">
        <v>7</v>
      </c>
      <c r="X17" s="4"/>
      <c r="Y17" s="24"/>
      <c r="AB17" t="s">
        <v>958</v>
      </c>
      <c r="AC17" t="s">
        <v>958</v>
      </c>
      <c r="AD17" s="29" t="s">
        <v>145</v>
      </c>
      <c r="AE17" s="4" t="s">
        <v>7</v>
      </c>
      <c r="AF17" s="4" t="s">
        <v>416</v>
      </c>
      <c r="AG17" s="4" t="s">
        <v>417</v>
      </c>
      <c r="AH17" s="4" t="s">
        <v>162</v>
      </c>
      <c r="AI17" s="4" t="s">
        <v>32</v>
      </c>
      <c r="AJ17" s="4" t="s">
        <v>470</v>
      </c>
      <c r="AK17" s="4" t="s">
        <v>471</v>
      </c>
      <c r="AL17" s="4" t="s">
        <v>1074</v>
      </c>
      <c r="AM17" s="4">
        <v>14</v>
      </c>
      <c r="AN17" s="4">
        <v>77</v>
      </c>
      <c r="AO17" s="4" t="s">
        <v>1069</v>
      </c>
      <c r="AP17" s="4"/>
      <c r="AQ17" s="4"/>
      <c r="AR17" s="4"/>
      <c r="AS17" s="4"/>
      <c r="AT17" s="4"/>
      <c r="AU17" s="4"/>
      <c r="AV17" s="4" t="s">
        <v>162</v>
      </c>
      <c r="AW17" s="4" t="s">
        <v>32</v>
      </c>
      <c r="AX17" s="24" t="s">
        <v>959</v>
      </c>
    </row>
    <row r="18" spans="1:50">
      <c r="A18" s="29" t="s">
        <v>409</v>
      </c>
      <c r="B18" s="4" t="s">
        <v>141</v>
      </c>
      <c r="C18" s="4" t="s">
        <v>7</v>
      </c>
      <c r="D18" s="4" t="s">
        <v>145</v>
      </c>
      <c r="E18" s="4" t="s">
        <v>416</v>
      </c>
      <c r="F18" s="4" t="s">
        <v>417</v>
      </c>
      <c r="G18" s="4" t="s">
        <v>15</v>
      </c>
      <c r="H18" s="4" t="s">
        <v>163</v>
      </c>
      <c r="I18" s="4" t="s">
        <v>444</v>
      </c>
      <c r="J18" s="4" t="s">
        <v>445</v>
      </c>
      <c r="K18" s="4" t="s">
        <v>1</v>
      </c>
      <c r="L18" s="4" t="s">
        <v>1076</v>
      </c>
      <c r="M18" s="7">
        <v>297</v>
      </c>
      <c r="N18" s="7">
        <v>1485</v>
      </c>
      <c r="O18" s="4" t="s">
        <v>1099</v>
      </c>
      <c r="P18" s="4"/>
      <c r="Q18" s="4" t="s">
        <v>1068</v>
      </c>
      <c r="R18" s="4" t="s">
        <v>6</v>
      </c>
      <c r="S18" s="4" t="s">
        <v>420</v>
      </c>
      <c r="T18" s="4" t="s">
        <v>141</v>
      </c>
      <c r="U18" s="4" t="s">
        <v>409</v>
      </c>
      <c r="V18" s="4" t="s">
        <v>145</v>
      </c>
      <c r="W18" s="4" t="s">
        <v>7</v>
      </c>
      <c r="X18" s="4"/>
      <c r="Y18" s="24"/>
      <c r="AB18" t="s">
        <v>960</v>
      </c>
      <c r="AC18" t="s">
        <v>960</v>
      </c>
      <c r="AD18" s="29" t="s">
        <v>145</v>
      </c>
      <c r="AE18" s="4" t="s">
        <v>7</v>
      </c>
      <c r="AF18" s="4" t="s">
        <v>416</v>
      </c>
      <c r="AG18" s="4" t="s">
        <v>417</v>
      </c>
      <c r="AH18" s="4" t="s">
        <v>159</v>
      </c>
      <c r="AI18" s="4" t="s">
        <v>25</v>
      </c>
      <c r="AJ18" s="4" t="s">
        <v>480</v>
      </c>
      <c r="AK18" s="4" t="s">
        <v>481</v>
      </c>
      <c r="AL18" s="4" t="s">
        <v>1075</v>
      </c>
      <c r="AM18" s="4">
        <v>4</v>
      </c>
      <c r="AN18" s="4">
        <v>20</v>
      </c>
      <c r="AO18" s="4" t="s">
        <v>1069</v>
      </c>
      <c r="AP18" s="4"/>
      <c r="AQ18" s="4"/>
      <c r="AR18" s="4"/>
      <c r="AS18" s="4"/>
      <c r="AT18" s="4"/>
      <c r="AU18" s="4"/>
      <c r="AV18" s="4" t="s">
        <v>162</v>
      </c>
      <c r="AW18" s="4" t="s">
        <v>32</v>
      </c>
      <c r="AX18" s="24" t="s">
        <v>961</v>
      </c>
    </row>
    <row r="19" spans="1:50">
      <c r="A19" s="29" t="s">
        <v>409</v>
      </c>
      <c r="B19" s="4" t="s">
        <v>141</v>
      </c>
      <c r="C19" s="4" t="s">
        <v>7</v>
      </c>
      <c r="D19" s="4" t="s">
        <v>145</v>
      </c>
      <c r="E19" s="4" t="s">
        <v>416</v>
      </c>
      <c r="F19" s="4" t="s">
        <v>417</v>
      </c>
      <c r="G19" s="4" t="s">
        <v>15</v>
      </c>
      <c r="H19" s="4" t="s">
        <v>163</v>
      </c>
      <c r="I19" s="4" t="s">
        <v>444</v>
      </c>
      <c r="J19" s="4" t="s">
        <v>445</v>
      </c>
      <c r="K19" s="4" t="s">
        <v>1</v>
      </c>
      <c r="L19" s="4" t="s">
        <v>1072</v>
      </c>
      <c r="M19" s="7">
        <v>386</v>
      </c>
      <c r="N19" s="7">
        <v>1930</v>
      </c>
      <c r="O19" s="4" t="s">
        <v>1099</v>
      </c>
      <c r="P19" s="4"/>
      <c r="Q19" s="4" t="s">
        <v>1068</v>
      </c>
      <c r="R19" s="4" t="s">
        <v>6</v>
      </c>
      <c r="S19" s="4" t="s">
        <v>420</v>
      </c>
      <c r="T19" s="4" t="s">
        <v>141</v>
      </c>
      <c r="U19" s="4" t="s">
        <v>409</v>
      </c>
      <c r="V19" s="4" t="s">
        <v>145</v>
      </c>
      <c r="W19" s="4" t="s">
        <v>7</v>
      </c>
      <c r="X19" s="4"/>
      <c r="Y19" s="24"/>
      <c r="AB19" t="s">
        <v>962</v>
      </c>
      <c r="AC19" t="s">
        <v>962</v>
      </c>
      <c r="AD19" s="29" t="s">
        <v>146</v>
      </c>
      <c r="AE19" s="4" t="s">
        <v>10</v>
      </c>
      <c r="AF19" s="4" t="s">
        <v>448</v>
      </c>
      <c r="AG19" s="4" t="s">
        <v>449</v>
      </c>
      <c r="AH19" s="4" t="s">
        <v>170</v>
      </c>
      <c r="AI19" s="4" t="s">
        <v>137</v>
      </c>
      <c r="AJ19" s="4" t="s">
        <v>460</v>
      </c>
      <c r="AK19" s="4" t="s">
        <v>461</v>
      </c>
      <c r="AL19" s="4" t="s">
        <v>1074</v>
      </c>
      <c r="AM19" s="4">
        <v>20</v>
      </c>
      <c r="AN19" s="4">
        <v>137</v>
      </c>
      <c r="AO19" s="4" t="s">
        <v>1069</v>
      </c>
      <c r="AP19" s="4"/>
      <c r="AQ19" s="4"/>
      <c r="AR19" s="4"/>
      <c r="AS19" s="4"/>
      <c r="AT19" s="4"/>
      <c r="AU19" s="4"/>
      <c r="AV19" s="4" t="s">
        <v>169</v>
      </c>
      <c r="AW19" s="4" t="s">
        <v>136</v>
      </c>
      <c r="AX19" s="24"/>
    </row>
    <row r="20" spans="1:50">
      <c r="A20" s="29" t="s">
        <v>409</v>
      </c>
      <c r="B20" s="4" t="s">
        <v>141</v>
      </c>
      <c r="C20" s="4" t="s">
        <v>7</v>
      </c>
      <c r="D20" s="4" t="s">
        <v>145</v>
      </c>
      <c r="E20" s="4" t="s">
        <v>416</v>
      </c>
      <c r="F20" s="4" t="s">
        <v>417</v>
      </c>
      <c r="G20" s="4" t="s">
        <v>15</v>
      </c>
      <c r="H20" s="4" t="s">
        <v>163</v>
      </c>
      <c r="I20" s="4" t="s">
        <v>444</v>
      </c>
      <c r="J20" s="4" t="s">
        <v>445</v>
      </c>
      <c r="K20" s="4" t="s">
        <v>1</v>
      </c>
      <c r="L20" s="4" t="s">
        <v>1074</v>
      </c>
      <c r="M20" s="7">
        <v>628</v>
      </c>
      <c r="N20" s="7">
        <v>3140</v>
      </c>
      <c r="O20" s="4" t="s">
        <v>1078</v>
      </c>
      <c r="P20" s="4"/>
      <c r="Q20" s="4" t="s">
        <v>1067</v>
      </c>
      <c r="R20" s="4" t="s">
        <v>6</v>
      </c>
      <c r="S20" s="4" t="s">
        <v>420</v>
      </c>
      <c r="T20" s="4" t="s">
        <v>141</v>
      </c>
      <c r="U20" s="4" t="s">
        <v>409</v>
      </c>
      <c r="V20" s="4" t="s">
        <v>146</v>
      </c>
      <c r="W20" s="4" t="s">
        <v>10</v>
      </c>
      <c r="X20" s="4"/>
      <c r="Y20" s="24"/>
      <c r="AB20" t="s">
        <v>963</v>
      </c>
      <c r="AC20" t="s">
        <v>963</v>
      </c>
      <c r="AD20" s="29" t="s">
        <v>146</v>
      </c>
      <c r="AE20" s="4" t="s">
        <v>10</v>
      </c>
      <c r="AF20" s="4" t="s">
        <v>448</v>
      </c>
      <c r="AG20" s="4" t="s">
        <v>449</v>
      </c>
      <c r="AH20" s="4" t="s">
        <v>169</v>
      </c>
      <c r="AI20" s="4" t="s">
        <v>136</v>
      </c>
      <c r="AJ20" s="4" t="s">
        <v>456</v>
      </c>
      <c r="AK20" s="4" t="s">
        <v>457</v>
      </c>
      <c r="AL20" s="4" t="s">
        <v>1074</v>
      </c>
      <c r="AM20" s="4">
        <v>9</v>
      </c>
      <c r="AN20" s="4">
        <v>45</v>
      </c>
      <c r="AO20" s="4" t="s">
        <v>1069</v>
      </c>
      <c r="AP20" s="4"/>
      <c r="AQ20" s="4"/>
      <c r="AR20" s="4"/>
      <c r="AS20" s="4"/>
      <c r="AT20" s="4"/>
      <c r="AU20" s="4"/>
      <c r="AV20" s="4" t="s">
        <v>172</v>
      </c>
      <c r="AW20" s="4" t="s">
        <v>29</v>
      </c>
      <c r="AX20" s="24"/>
    </row>
    <row r="21" spans="1:50">
      <c r="A21" s="29" t="s">
        <v>409</v>
      </c>
      <c r="B21" s="4" t="s">
        <v>141</v>
      </c>
      <c r="C21" s="4" t="s">
        <v>7</v>
      </c>
      <c r="D21" s="4" t="s">
        <v>145</v>
      </c>
      <c r="E21" s="4" t="s">
        <v>416</v>
      </c>
      <c r="F21" s="4" t="s">
        <v>417</v>
      </c>
      <c r="G21" s="4" t="s">
        <v>15</v>
      </c>
      <c r="H21" s="4" t="s">
        <v>163</v>
      </c>
      <c r="I21" s="4" t="s">
        <v>444</v>
      </c>
      <c r="J21" s="4" t="s">
        <v>445</v>
      </c>
      <c r="K21" s="4" t="s">
        <v>1</v>
      </c>
      <c r="L21" s="4" t="s">
        <v>1073</v>
      </c>
      <c r="M21" s="7">
        <v>209</v>
      </c>
      <c r="N21" s="7">
        <v>1045</v>
      </c>
      <c r="O21" s="4" t="s">
        <v>1099</v>
      </c>
      <c r="P21" s="4"/>
      <c r="Q21" s="4" t="s">
        <v>1068</v>
      </c>
      <c r="R21" s="4" t="s">
        <v>6</v>
      </c>
      <c r="S21" s="4" t="s">
        <v>420</v>
      </c>
      <c r="T21" s="4" t="s">
        <v>141</v>
      </c>
      <c r="U21" s="4" t="s">
        <v>409</v>
      </c>
      <c r="V21" s="4" t="s">
        <v>145</v>
      </c>
      <c r="W21" s="4" t="s">
        <v>7</v>
      </c>
      <c r="X21" s="4"/>
      <c r="Y21" s="24"/>
      <c r="AB21" t="s">
        <v>963</v>
      </c>
      <c r="AC21" t="s">
        <v>963</v>
      </c>
      <c r="AD21" s="29" t="s">
        <v>146</v>
      </c>
      <c r="AE21" s="4" t="s">
        <v>10</v>
      </c>
      <c r="AF21" s="4" t="s">
        <v>448</v>
      </c>
      <c r="AG21" s="4" t="s">
        <v>449</v>
      </c>
      <c r="AH21" s="4" t="s">
        <v>169</v>
      </c>
      <c r="AI21" s="4" t="s">
        <v>136</v>
      </c>
      <c r="AJ21" s="4" t="s">
        <v>456</v>
      </c>
      <c r="AK21" s="4" t="s">
        <v>457</v>
      </c>
      <c r="AL21" s="4" t="s">
        <v>1072</v>
      </c>
      <c r="AM21" s="4">
        <v>5</v>
      </c>
      <c r="AN21" s="4">
        <v>25</v>
      </c>
      <c r="AO21" s="4" t="s">
        <v>1069</v>
      </c>
      <c r="AP21" s="4"/>
      <c r="AQ21" s="4"/>
      <c r="AR21" s="4"/>
      <c r="AS21" s="4"/>
      <c r="AT21" s="4"/>
      <c r="AU21" s="4"/>
      <c r="AV21" s="4" t="s">
        <v>172</v>
      </c>
      <c r="AW21" s="4" t="s">
        <v>29</v>
      </c>
      <c r="AX21" s="24"/>
    </row>
    <row r="22" spans="1:50">
      <c r="A22" s="29" t="s">
        <v>409</v>
      </c>
      <c r="B22" s="4" t="s">
        <v>141</v>
      </c>
      <c r="C22" s="4" t="s">
        <v>7</v>
      </c>
      <c r="D22" s="4" t="s">
        <v>145</v>
      </c>
      <c r="E22" s="4" t="s">
        <v>416</v>
      </c>
      <c r="F22" s="4" t="s">
        <v>417</v>
      </c>
      <c r="G22" s="4" t="s">
        <v>21</v>
      </c>
      <c r="H22" s="4" t="s">
        <v>164</v>
      </c>
      <c r="I22" s="4" t="s">
        <v>490</v>
      </c>
      <c r="J22" s="4" t="s">
        <v>491</v>
      </c>
      <c r="K22" s="4" t="s">
        <v>1</v>
      </c>
      <c r="L22" s="4" t="s">
        <v>1077</v>
      </c>
      <c r="M22" s="7">
        <v>70</v>
      </c>
      <c r="N22" s="7">
        <v>350</v>
      </c>
      <c r="O22" s="4" t="s">
        <v>1099</v>
      </c>
      <c r="P22" s="4"/>
      <c r="Q22" s="4" t="s">
        <v>1068</v>
      </c>
      <c r="R22" s="4" t="s">
        <v>6</v>
      </c>
      <c r="S22" s="4" t="s">
        <v>420</v>
      </c>
      <c r="T22" s="4" t="s">
        <v>141</v>
      </c>
      <c r="U22" s="4" t="s">
        <v>409</v>
      </c>
      <c r="V22" s="4" t="s">
        <v>145</v>
      </c>
      <c r="W22" s="4" t="s">
        <v>7</v>
      </c>
      <c r="X22" s="4"/>
      <c r="Y22" s="24"/>
      <c r="AB22" t="s">
        <v>963</v>
      </c>
      <c r="AC22" t="s">
        <v>963</v>
      </c>
      <c r="AD22" s="29" t="s">
        <v>146</v>
      </c>
      <c r="AE22" s="4" t="s">
        <v>10</v>
      </c>
      <c r="AF22" s="4" t="s">
        <v>448</v>
      </c>
      <c r="AG22" s="4" t="s">
        <v>449</v>
      </c>
      <c r="AH22" s="4" t="s">
        <v>169</v>
      </c>
      <c r="AI22" s="4" t="s">
        <v>136</v>
      </c>
      <c r="AJ22" s="4" t="s">
        <v>456</v>
      </c>
      <c r="AK22" s="4" t="s">
        <v>457</v>
      </c>
      <c r="AL22" s="4" t="s">
        <v>1075</v>
      </c>
      <c r="AM22" s="4">
        <v>5</v>
      </c>
      <c r="AN22" s="4">
        <v>25</v>
      </c>
      <c r="AO22" s="4" t="s">
        <v>1069</v>
      </c>
      <c r="AP22" s="4"/>
      <c r="AQ22" s="4"/>
      <c r="AR22" s="4"/>
      <c r="AS22" s="4"/>
      <c r="AT22" s="4"/>
      <c r="AU22" s="4"/>
      <c r="AV22" s="4" t="s">
        <v>172</v>
      </c>
      <c r="AW22" s="4" t="s">
        <v>29</v>
      </c>
      <c r="AX22" s="24"/>
    </row>
    <row r="23" spans="1:50">
      <c r="A23" s="29" t="s">
        <v>409</v>
      </c>
      <c r="B23" s="4" t="s">
        <v>141</v>
      </c>
      <c r="C23" s="4" t="s">
        <v>7</v>
      </c>
      <c r="D23" s="4" t="s">
        <v>145</v>
      </c>
      <c r="E23" s="4" t="s">
        <v>416</v>
      </c>
      <c r="F23" s="4" t="s">
        <v>417</v>
      </c>
      <c r="G23" s="4" t="s">
        <v>21</v>
      </c>
      <c r="H23" s="4" t="s">
        <v>164</v>
      </c>
      <c r="I23" s="4" t="s">
        <v>490</v>
      </c>
      <c r="J23" s="4" t="s">
        <v>491</v>
      </c>
      <c r="K23" s="4" t="s">
        <v>1</v>
      </c>
      <c r="L23" s="4" t="s">
        <v>1075</v>
      </c>
      <c r="M23" s="7">
        <v>725</v>
      </c>
      <c r="N23" s="7">
        <v>3625</v>
      </c>
      <c r="O23" s="4" t="s">
        <v>1099</v>
      </c>
      <c r="P23" s="4"/>
      <c r="Q23" s="4" t="s">
        <v>1068</v>
      </c>
      <c r="R23" s="4" t="s">
        <v>6</v>
      </c>
      <c r="S23" s="4" t="s">
        <v>420</v>
      </c>
      <c r="T23" s="4" t="s">
        <v>141</v>
      </c>
      <c r="U23" s="4" t="s">
        <v>409</v>
      </c>
      <c r="V23" s="4" t="s">
        <v>145</v>
      </c>
      <c r="W23" s="4" t="s">
        <v>7</v>
      </c>
      <c r="X23" s="4"/>
      <c r="Y23" s="24"/>
      <c r="AB23" t="s">
        <v>964</v>
      </c>
      <c r="AC23" t="s">
        <v>964</v>
      </c>
      <c r="AD23" s="29" t="s">
        <v>145</v>
      </c>
      <c r="AE23" s="4" t="s">
        <v>7</v>
      </c>
      <c r="AF23" s="4" t="s">
        <v>416</v>
      </c>
      <c r="AG23" s="4" t="s">
        <v>417</v>
      </c>
      <c r="AH23" s="4" t="s">
        <v>164</v>
      </c>
      <c r="AI23" s="4" t="s">
        <v>21</v>
      </c>
      <c r="AJ23" s="4" t="s">
        <v>490</v>
      </c>
      <c r="AK23" s="4" t="s">
        <v>491</v>
      </c>
      <c r="AL23" s="4" t="s">
        <v>1072</v>
      </c>
      <c r="AM23" s="4">
        <v>1159</v>
      </c>
      <c r="AN23" s="4">
        <v>5795</v>
      </c>
      <c r="AO23" s="4" t="s">
        <v>1069</v>
      </c>
      <c r="AP23" s="4"/>
      <c r="AQ23" s="4"/>
      <c r="AR23" s="4"/>
      <c r="AS23" s="4"/>
      <c r="AT23" s="4"/>
      <c r="AU23" s="4"/>
      <c r="AV23" s="4" t="s">
        <v>161</v>
      </c>
      <c r="AW23" s="4" t="s">
        <v>134</v>
      </c>
      <c r="AX23" s="24"/>
    </row>
    <row r="24" spans="1:50">
      <c r="A24" s="29" t="s">
        <v>409</v>
      </c>
      <c r="B24" s="4" t="s">
        <v>141</v>
      </c>
      <c r="C24" s="4" t="s">
        <v>7</v>
      </c>
      <c r="D24" s="4" t="s">
        <v>145</v>
      </c>
      <c r="E24" s="4" t="s">
        <v>416</v>
      </c>
      <c r="F24" s="4" t="s">
        <v>417</v>
      </c>
      <c r="G24" s="4" t="s">
        <v>21</v>
      </c>
      <c r="H24" s="4" t="s">
        <v>164</v>
      </c>
      <c r="I24" s="4" t="s">
        <v>490</v>
      </c>
      <c r="J24" s="4" t="s">
        <v>491</v>
      </c>
      <c r="K24" s="4" t="s">
        <v>1</v>
      </c>
      <c r="L24" s="4" t="s">
        <v>1076</v>
      </c>
      <c r="M24" s="7">
        <v>268</v>
      </c>
      <c r="N24" s="7">
        <v>1340</v>
      </c>
      <c r="O24" s="4" t="s">
        <v>1099</v>
      </c>
      <c r="P24" s="4"/>
      <c r="Q24" s="4" t="s">
        <v>1068</v>
      </c>
      <c r="R24" s="4" t="s">
        <v>6</v>
      </c>
      <c r="S24" s="4" t="s">
        <v>420</v>
      </c>
      <c r="T24" s="4" t="s">
        <v>141</v>
      </c>
      <c r="U24" s="4" t="s">
        <v>409</v>
      </c>
      <c r="V24" s="4" t="s">
        <v>145</v>
      </c>
      <c r="W24" s="4" t="s">
        <v>7</v>
      </c>
      <c r="X24" s="4"/>
      <c r="Y24" s="24"/>
      <c r="AB24" t="s">
        <v>964</v>
      </c>
      <c r="AC24" t="s">
        <v>964</v>
      </c>
      <c r="AD24" s="29" t="s">
        <v>145</v>
      </c>
      <c r="AE24" s="4" t="s">
        <v>7</v>
      </c>
      <c r="AF24" s="4" t="s">
        <v>416</v>
      </c>
      <c r="AG24" s="4" t="s">
        <v>417</v>
      </c>
      <c r="AH24" s="4" t="s">
        <v>164</v>
      </c>
      <c r="AI24" s="4" t="s">
        <v>21</v>
      </c>
      <c r="AJ24" s="4" t="s">
        <v>490</v>
      </c>
      <c r="AK24" s="4" t="s">
        <v>491</v>
      </c>
      <c r="AL24" s="4" t="s">
        <v>1076</v>
      </c>
      <c r="AM24" s="4">
        <v>941</v>
      </c>
      <c r="AN24" s="4">
        <v>4705</v>
      </c>
      <c r="AO24" s="4" t="s">
        <v>1069</v>
      </c>
      <c r="AP24" s="4"/>
      <c r="AQ24" s="4"/>
      <c r="AR24" s="4"/>
      <c r="AS24" s="4"/>
      <c r="AT24" s="4"/>
      <c r="AU24" s="4"/>
      <c r="AV24" s="4" t="s">
        <v>161</v>
      </c>
      <c r="AW24" s="4" t="s">
        <v>134</v>
      </c>
      <c r="AX24" s="24"/>
    </row>
    <row r="25" spans="1:50" ht="15.75" thickBot="1">
      <c r="A25" s="29" t="s">
        <v>409</v>
      </c>
      <c r="B25" s="4" t="s">
        <v>141</v>
      </c>
      <c r="C25" s="4" t="s">
        <v>7</v>
      </c>
      <c r="D25" s="4" t="s">
        <v>145</v>
      </c>
      <c r="E25" s="4" t="s">
        <v>416</v>
      </c>
      <c r="F25" s="4" t="s">
        <v>417</v>
      </c>
      <c r="G25" s="4" t="s">
        <v>21</v>
      </c>
      <c r="H25" s="4" t="s">
        <v>164</v>
      </c>
      <c r="I25" s="4" t="s">
        <v>490</v>
      </c>
      <c r="J25" s="4" t="s">
        <v>491</v>
      </c>
      <c r="K25" s="4" t="s">
        <v>1</v>
      </c>
      <c r="L25" s="4" t="s">
        <v>1072</v>
      </c>
      <c r="M25" s="7">
        <v>200</v>
      </c>
      <c r="N25" s="7">
        <v>1000</v>
      </c>
      <c r="O25" s="4" t="s">
        <v>1099</v>
      </c>
      <c r="P25" s="4"/>
      <c r="Q25" s="4" t="s">
        <v>1068</v>
      </c>
      <c r="R25" s="4" t="s">
        <v>6</v>
      </c>
      <c r="S25" s="4" t="s">
        <v>420</v>
      </c>
      <c r="T25" s="4" t="s">
        <v>141</v>
      </c>
      <c r="U25" s="4" t="s">
        <v>409</v>
      </c>
      <c r="V25" s="4" t="s">
        <v>145</v>
      </c>
      <c r="W25" s="4" t="s">
        <v>7</v>
      </c>
      <c r="X25" s="4"/>
      <c r="Y25" s="24"/>
      <c r="AB25" t="s">
        <v>965</v>
      </c>
      <c r="AC25" t="s">
        <v>965</v>
      </c>
      <c r="AD25" s="30" t="s">
        <v>148</v>
      </c>
      <c r="AE25" s="26" t="s">
        <v>27</v>
      </c>
      <c r="AF25" s="26" t="s">
        <v>425</v>
      </c>
      <c r="AG25" s="26" t="s">
        <v>426</v>
      </c>
      <c r="AH25" s="26" t="s">
        <v>179</v>
      </c>
      <c r="AI25" s="26" t="s">
        <v>28</v>
      </c>
      <c r="AJ25" s="26" t="s">
        <v>427</v>
      </c>
      <c r="AK25" s="26" t="s">
        <v>428</v>
      </c>
      <c r="AL25" s="26" t="s">
        <v>1077</v>
      </c>
      <c r="AM25" s="26">
        <v>3790</v>
      </c>
      <c r="AN25" s="26">
        <v>23107</v>
      </c>
      <c r="AO25" s="26" t="s">
        <v>1069</v>
      </c>
      <c r="AP25" s="26"/>
      <c r="AQ25" s="26"/>
      <c r="AR25" s="26"/>
      <c r="AS25" s="26"/>
      <c r="AT25" s="26"/>
      <c r="AU25" s="26"/>
      <c r="AV25" s="26"/>
      <c r="AW25" s="26"/>
      <c r="AX25" s="28"/>
    </row>
    <row r="26" spans="1:50">
      <c r="A26" s="29" t="s">
        <v>409</v>
      </c>
      <c r="B26" s="4" t="s">
        <v>141</v>
      </c>
      <c r="C26" s="4" t="s">
        <v>7</v>
      </c>
      <c r="D26" s="4" t="s">
        <v>145</v>
      </c>
      <c r="E26" s="4" t="s">
        <v>416</v>
      </c>
      <c r="F26" s="4" t="s">
        <v>417</v>
      </c>
      <c r="G26" s="4" t="s">
        <v>21</v>
      </c>
      <c r="H26" s="4" t="s">
        <v>164</v>
      </c>
      <c r="I26" s="4" t="s">
        <v>490</v>
      </c>
      <c r="J26" s="4" t="s">
        <v>491</v>
      </c>
      <c r="K26" s="4" t="s">
        <v>1</v>
      </c>
      <c r="L26" s="4" t="s">
        <v>1073</v>
      </c>
      <c r="M26" s="7">
        <v>1007</v>
      </c>
      <c r="N26" s="7">
        <v>5035</v>
      </c>
      <c r="O26" s="4" t="s">
        <v>1099</v>
      </c>
      <c r="P26" s="4"/>
      <c r="Q26" s="4" t="s">
        <v>1068</v>
      </c>
      <c r="R26" s="4" t="s">
        <v>6</v>
      </c>
      <c r="S26" s="4" t="s">
        <v>420</v>
      </c>
      <c r="T26" s="4" t="s">
        <v>141</v>
      </c>
      <c r="U26" s="4" t="s">
        <v>409</v>
      </c>
      <c r="V26" s="4" t="s">
        <v>145</v>
      </c>
      <c r="W26" s="4" t="s">
        <v>7</v>
      </c>
      <c r="X26" s="4"/>
      <c r="Y26" s="24"/>
    </row>
    <row r="27" spans="1:50">
      <c r="A27" s="29" t="s">
        <v>409</v>
      </c>
      <c r="B27" s="4" t="s">
        <v>141</v>
      </c>
      <c r="C27" s="4" t="s">
        <v>7</v>
      </c>
      <c r="D27" s="4" t="s">
        <v>145</v>
      </c>
      <c r="E27" s="4" t="s">
        <v>416</v>
      </c>
      <c r="F27" s="4" t="s">
        <v>417</v>
      </c>
      <c r="G27" s="4" t="s">
        <v>19</v>
      </c>
      <c r="H27" s="4" t="s">
        <v>157</v>
      </c>
      <c r="I27" s="4" t="s">
        <v>421</v>
      </c>
      <c r="J27" s="4" t="s">
        <v>422</v>
      </c>
      <c r="K27" s="4" t="s">
        <v>1</v>
      </c>
      <c r="L27" s="4" t="s">
        <v>1076</v>
      </c>
      <c r="M27" s="7">
        <v>220</v>
      </c>
      <c r="N27" s="7">
        <v>994</v>
      </c>
      <c r="O27" s="4" t="s">
        <v>1099</v>
      </c>
      <c r="P27" s="4"/>
      <c r="Q27" s="4" t="s">
        <v>1069</v>
      </c>
      <c r="R27" s="4" t="s">
        <v>6</v>
      </c>
      <c r="S27" s="4" t="s">
        <v>420</v>
      </c>
      <c r="T27" s="4" t="s">
        <v>141</v>
      </c>
      <c r="U27" s="4" t="s">
        <v>409</v>
      </c>
      <c r="V27" s="4" t="s">
        <v>145</v>
      </c>
      <c r="W27" s="4" t="s">
        <v>7</v>
      </c>
      <c r="X27" s="4" t="s">
        <v>164</v>
      </c>
      <c r="Y27" s="24" t="s">
        <v>21</v>
      </c>
    </row>
    <row r="28" spans="1:50">
      <c r="A28" s="29" t="s">
        <v>409</v>
      </c>
      <c r="B28" s="4" t="s">
        <v>141</v>
      </c>
      <c r="C28" s="4" t="s">
        <v>7</v>
      </c>
      <c r="D28" s="4" t="s">
        <v>145</v>
      </c>
      <c r="E28" s="4" t="s">
        <v>416</v>
      </c>
      <c r="F28" s="4" t="s">
        <v>417</v>
      </c>
      <c r="G28" s="4" t="s">
        <v>19</v>
      </c>
      <c r="H28" s="4" t="s">
        <v>157</v>
      </c>
      <c r="I28" s="4" t="s">
        <v>421</v>
      </c>
      <c r="J28" s="4" t="s">
        <v>422</v>
      </c>
      <c r="K28" s="4" t="s">
        <v>1</v>
      </c>
      <c r="L28" s="4" t="s">
        <v>1072</v>
      </c>
      <c r="M28" s="7">
        <v>127</v>
      </c>
      <c r="N28" s="7">
        <v>635</v>
      </c>
      <c r="O28" s="4" t="s">
        <v>1099</v>
      </c>
      <c r="P28" s="4"/>
      <c r="Q28" s="4" t="s">
        <v>1069</v>
      </c>
      <c r="R28" s="4" t="s">
        <v>6</v>
      </c>
      <c r="S28" s="4" t="s">
        <v>420</v>
      </c>
      <c r="T28" s="4" t="s">
        <v>141</v>
      </c>
      <c r="U28" s="4" t="s">
        <v>409</v>
      </c>
      <c r="V28" s="4" t="s">
        <v>145</v>
      </c>
      <c r="W28" s="4" t="s">
        <v>7</v>
      </c>
      <c r="X28" s="4" t="s">
        <v>164</v>
      </c>
      <c r="Y28" s="24" t="s">
        <v>21</v>
      </c>
    </row>
    <row r="29" spans="1:50">
      <c r="A29" s="29" t="s">
        <v>409</v>
      </c>
      <c r="B29" s="4" t="s">
        <v>141</v>
      </c>
      <c r="C29" s="4" t="s">
        <v>7</v>
      </c>
      <c r="D29" s="4" t="s">
        <v>145</v>
      </c>
      <c r="E29" s="4" t="s">
        <v>416</v>
      </c>
      <c r="F29" s="4" t="s">
        <v>417</v>
      </c>
      <c r="G29" s="4" t="s">
        <v>19</v>
      </c>
      <c r="H29" s="4" t="s">
        <v>157</v>
      </c>
      <c r="I29" s="4" t="s">
        <v>421</v>
      </c>
      <c r="J29" s="4" t="s">
        <v>422</v>
      </c>
      <c r="K29" s="4" t="s">
        <v>1</v>
      </c>
      <c r="L29" s="4" t="s">
        <v>1073</v>
      </c>
      <c r="M29" s="7">
        <v>120</v>
      </c>
      <c r="N29" s="7">
        <v>600</v>
      </c>
      <c r="O29" s="4" t="s">
        <v>1099</v>
      </c>
      <c r="P29" s="4"/>
      <c r="Q29" s="4" t="s">
        <v>1069</v>
      </c>
      <c r="R29" s="4" t="s">
        <v>6</v>
      </c>
      <c r="S29" s="4" t="s">
        <v>420</v>
      </c>
      <c r="T29" s="4" t="s">
        <v>141</v>
      </c>
      <c r="U29" s="4" t="s">
        <v>409</v>
      </c>
      <c r="V29" s="4" t="s">
        <v>145</v>
      </c>
      <c r="W29" s="4" t="s">
        <v>7</v>
      </c>
      <c r="X29" s="4" t="s">
        <v>164</v>
      </c>
      <c r="Y29" s="24" t="s">
        <v>21</v>
      </c>
    </row>
    <row r="30" spans="1:50">
      <c r="A30" s="29" t="s">
        <v>409</v>
      </c>
      <c r="B30" s="4" t="s">
        <v>141</v>
      </c>
      <c r="C30" s="4" t="s">
        <v>7</v>
      </c>
      <c r="D30" s="4" t="s">
        <v>145</v>
      </c>
      <c r="E30" s="4" t="s">
        <v>416</v>
      </c>
      <c r="F30" s="4" t="s">
        <v>417</v>
      </c>
      <c r="G30" s="4" t="s">
        <v>135</v>
      </c>
      <c r="H30" s="4" t="s">
        <v>166</v>
      </c>
      <c r="I30" s="4" t="s">
        <v>441</v>
      </c>
      <c r="J30" s="4" t="s">
        <v>442</v>
      </c>
      <c r="K30" s="4" t="s">
        <v>1</v>
      </c>
      <c r="L30" s="4" t="s">
        <v>1077</v>
      </c>
      <c r="M30" s="7">
        <v>253</v>
      </c>
      <c r="N30" s="7">
        <v>1282</v>
      </c>
      <c r="O30" s="4" t="s">
        <v>1099</v>
      </c>
      <c r="P30" s="4"/>
      <c r="Q30" s="4" t="s">
        <v>1068</v>
      </c>
      <c r="R30" s="4" t="s">
        <v>6</v>
      </c>
      <c r="S30" s="4" t="s">
        <v>420</v>
      </c>
      <c r="T30" s="4" t="s">
        <v>141</v>
      </c>
      <c r="U30" s="4" t="s">
        <v>409</v>
      </c>
      <c r="V30" s="4" t="s">
        <v>145</v>
      </c>
      <c r="W30" s="4" t="s">
        <v>7</v>
      </c>
      <c r="X30" s="4"/>
      <c r="Y30" s="24"/>
    </row>
    <row r="31" spans="1:50">
      <c r="A31" s="29" t="s">
        <v>409</v>
      </c>
      <c r="B31" s="4" t="s">
        <v>141</v>
      </c>
      <c r="C31" s="4" t="s">
        <v>7</v>
      </c>
      <c r="D31" s="4" t="s">
        <v>145</v>
      </c>
      <c r="E31" s="4" t="s">
        <v>416</v>
      </c>
      <c r="F31" s="4" t="s">
        <v>417</v>
      </c>
      <c r="G31" s="4" t="s">
        <v>135</v>
      </c>
      <c r="H31" s="4" t="s">
        <v>166</v>
      </c>
      <c r="I31" s="4" t="s">
        <v>441</v>
      </c>
      <c r="J31" s="4" t="s">
        <v>442</v>
      </c>
      <c r="K31" s="4" t="s">
        <v>1</v>
      </c>
      <c r="L31" s="4" t="s">
        <v>1075</v>
      </c>
      <c r="M31" s="7">
        <v>70</v>
      </c>
      <c r="N31" s="7">
        <v>602</v>
      </c>
      <c r="O31" s="4" t="s">
        <v>1099</v>
      </c>
      <c r="P31" s="4"/>
      <c r="Q31" s="4" t="s">
        <v>1068</v>
      </c>
      <c r="R31" s="4" t="s">
        <v>6</v>
      </c>
      <c r="S31" s="4" t="s">
        <v>420</v>
      </c>
      <c r="T31" s="4" t="s">
        <v>141</v>
      </c>
      <c r="U31" s="4" t="s">
        <v>409</v>
      </c>
      <c r="V31" s="4" t="s">
        <v>145</v>
      </c>
      <c r="W31" s="4" t="s">
        <v>7</v>
      </c>
      <c r="X31" s="4"/>
      <c r="Y31" s="24"/>
    </row>
    <row r="32" spans="1:50">
      <c r="A32" s="29" t="s">
        <v>409</v>
      </c>
      <c r="B32" s="4" t="s">
        <v>141</v>
      </c>
      <c r="C32" s="4" t="s">
        <v>7</v>
      </c>
      <c r="D32" s="4" t="s">
        <v>145</v>
      </c>
      <c r="E32" s="4" t="s">
        <v>416</v>
      </c>
      <c r="F32" s="4" t="s">
        <v>417</v>
      </c>
      <c r="G32" s="4" t="s">
        <v>135</v>
      </c>
      <c r="H32" s="4" t="s">
        <v>166</v>
      </c>
      <c r="I32" s="4" t="s">
        <v>441</v>
      </c>
      <c r="J32" s="4" t="s">
        <v>442</v>
      </c>
      <c r="K32" s="4" t="s">
        <v>1</v>
      </c>
      <c r="L32" s="4" t="s">
        <v>1072</v>
      </c>
      <c r="M32" s="7">
        <v>540</v>
      </c>
      <c r="N32" s="7">
        <v>3476</v>
      </c>
      <c r="O32" s="4" t="s">
        <v>1099</v>
      </c>
      <c r="P32" s="4"/>
      <c r="Q32" s="4" t="s">
        <v>1068</v>
      </c>
      <c r="R32" s="4" t="s">
        <v>6</v>
      </c>
      <c r="S32" s="4" t="s">
        <v>420</v>
      </c>
      <c r="T32" s="4" t="s">
        <v>141</v>
      </c>
      <c r="U32" s="4" t="s">
        <v>409</v>
      </c>
      <c r="V32" s="4" t="s">
        <v>145</v>
      </c>
      <c r="W32" s="4" t="s">
        <v>7</v>
      </c>
      <c r="X32" s="4"/>
      <c r="Y32" s="24"/>
    </row>
    <row r="33" spans="1:25">
      <c r="A33" s="29" t="s">
        <v>409</v>
      </c>
      <c r="B33" s="4" t="s">
        <v>141</v>
      </c>
      <c r="C33" s="4" t="s">
        <v>7</v>
      </c>
      <c r="D33" s="4" t="s">
        <v>145</v>
      </c>
      <c r="E33" s="4" t="s">
        <v>416</v>
      </c>
      <c r="F33" s="4" t="s">
        <v>417</v>
      </c>
      <c r="G33" s="4" t="s">
        <v>135</v>
      </c>
      <c r="H33" s="4" t="s">
        <v>166</v>
      </c>
      <c r="I33" s="4" t="s">
        <v>441</v>
      </c>
      <c r="J33" s="4" t="s">
        <v>442</v>
      </c>
      <c r="K33" s="4" t="s">
        <v>1</v>
      </c>
      <c r="L33" s="4" t="s">
        <v>1073</v>
      </c>
      <c r="M33" s="7">
        <v>304</v>
      </c>
      <c r="N33" s="7">
        <v>1560</v>
      </c>
      <c r="O33" s="4" t="s">
        <v>1099</v>
      </c>
      <c r="P33" s="4"/>
      <c r="Q33" s="4" t="s">
        <v>1069</v>
      </c>
      <c r="R33" s="4" t="s">
        <v>6</v>
      </c>
      <c r="S33" s="4" t="s">
        <v>420</v>
      </c>
      <c r="T33" s="4" t="s">
        <v>141</v>
      </c>
      <c r="U33" s="4" t="s">
        <v>409</v>
      </c>
      <c r="V33" s="4" t="s">
        <v>145</v>
      </c>
      <c r="W33" s="4" t="s">
        <v>7</v>
      </c>
      <c r="X33" s="4" t="s">
        <v>166</v>
      </c>
      <c r="Y33" s="24" t="s">
        <v>443</v>
      </c>
    </row>
    <row r="34" spans="1:25">
      <c r="A34" s="29" t="s">
        <v>409</v>
      </c>
      <c r="B34" s="4" t="s">
        <v>141</v>
      </c>
      <c r="C34" s="4" t="s">
        <v>7</v>
      </c>
      <c r="D34" s="4" t="s">
        <v>145</v>
      </c>
      <c r="E34" s="4" t="s">
        <v>416</v>
      </c>
      <c r="F34" s="4" t="s">
        <v>417</v>
      </c>
      <c r="G34" s="4" t="s">
        <v>134</v>
      </c>
      <c r="H34" s="4" t="s">
        <v>161</v>
      </c>
      <c r="I34" s="4" t="s">
        <v>423</v>
      </c>
      <c r="J34" s="4" t="s">
        <v>424</v>
      </c>
      <c r="K34" s="4" t="s">
        <v>1</v>
      </c>
      <c r="L34" s="4" t="s">
        <v>1076</v>
      </c>
      <c r="M34" s="7">
        <v>959</v>
      </c>
      <c r="N34" s="7">
        <v>4661</v>
      </c>
      <c r="O34" s="4" t="s">
        <v>1099</v>
      </c>
      <c r="P34" s="4"/>
      <c r="Q34" s="4" t="s">
        <v>1069</v>
      </c>
      <c r="R34" s="4" t="s">
        <v>6</v>
      </c>
      <c r="S34" s="4" t="s">
        <v>420</v>
      </c>
      <c r="T34" s="4" t="s">
        <v>141</v>
      </c>
      <c r="U34" s="4" t="s">
        <v>409</v>
      </c>
      <c r="V34" s="4" t="s">
        <v>145</v>
      </c>
      <c r="W34" s="4" t="s">
        <v>7</v>
      </c>
      <c r="X34" s="4" t="s">
        <v>165</v>
      </c>
      <c r="Y34" s="24" t="s">
        <v>8</v>
      </c>
    </row>
    <row r="35" spans="1:25">
      <c r="A35" s="29" t="s">
        <v>409</v>
      </c>
      <c r="B35" s="4" t="s">
        <v>141</v>
      </c>
      <c r="C35" s="4" t="s">
        <v>7</v>
      </c>
      <c r="D35" s="4" t="s">
        <v>145</v>
      </c>
      <c r="E35" s="4" t="s">
        <v>416</v>
      </c>
      <c r="F35" s="4" t="s">
        <v>417</v>
      </c>
      <c r="G35" s="4" t="s">
        <v>134</v>
      </c>
      <c r="H35" s="4" t="s">
        <v>161</v>
      </c>
      <c r="I35" s="4" t="s">
        <v>423</v>
      </c>
      <c r="J35" s="4" t="s">
        <v>424</v>
      </c>
      <c r="K35" s="4" t="s">
        <v>1</v>
      </c>
      <c r="L35" s="4" t="s">
        <v>1072</v>
      </c>
      <c r="M35" s="7">
        <v>2426</v>
      </c>
      <c r="N35" s="7">
        <v>12128</v>
      </c>
      <c r="O35" s="4" t="s">
        <v>1099</v>
      </c>
      <c r="P35" s="4"/>
      <c r="Q35" s="4" t="s">
        <v>1069</v>
      </c>
      <c r="R35" s="4" t="s">
        <v>6</v>
      </c>
      <c r="S35" s="4" t="s">
        <v>420</v>
      </c>
      <c r="T35" s="4" t="s">
        <v>141</v>
      </c>
      <c r="U35" s="4" t="s">
        <v>409</v>
      </c>
      <c r="V35" s="4" t="s">
        <v>145</v>
      </c>
      <c r="W35" s="4" t="s">
        <v>7</v>
      </c>
      <c r="X35" s="4" t="s">
        <v>165</v>
      </c>
      <c r="Y35" s="24" t="s">
        <v>8</v>
      </c>
    </row>
    <row r="36" spans="1:25">
      <c r="A36" s="29" t="s">
        <v>409</v>
      </c>
      <c r="B36" s="4" t="s">
        <v>141</v>
      </c>
      <c r="C36" s="4" t="s">
        <v>7</v>
      </c>
      <c r="D36" s="4" t="s">
        <v>145</v>
      </c>
      <c r="E36" s="4" t="s">
        <v>416</v>
      </c>
      <c r="F36" s="4" t="s">
        <v>417</v>
      </c>
      <c r="G36" s="4" t="s">
        <v>134</v>
      </c>
      <c r="H36" s="4" t="s">
        <v>161</v>
      </c>
      <c r="I36" s="4" t="s">
        <v>423</v>
      </c>
      <c r="J36" s="4" t="s">
        <v>424</v>
      </c>
      <c r="K36" s="4" t="s">
        <v>1</v>
      </c>
      <c r="L36" s="4" t="s">
        <v>1075</v>
      </c>
      <c r="M36" s="7">
        <v>392</v>
      </c>
      <c r="N36" s="7">
        <v>2096</v>
      </c>
      <c r="O36" s="4" t="s">
        <v>1099</v>
      </c>
      <c r="P36" s="4"/>
      <c r="Q36" s="4" t="s">
        <v>1069</v>
      </c>
      <c r="R36" s="4" t="s">
        <v>6</v>
      </c>
      <c r="S36" s="4" t="s">
        <v>420</v>
      </c>
      <c r="T36" s="4" t="s">
        <v>141</v>
      </c>
      <c r="U36" s="4" t="s">
        <v>409</v>
      </c>
      <c r="V36" s="4" t="s">
        <v>145</v>
      </c>
      <c r="W36" s="4" t="s">
        <v>7</v>
      </c>
      <c r="X36" s="4" t="s">
        <v>165</v>
      </c>
      <c r="Y36" s="24" t="s">
        <v>8</v>
      </c>
    </row>
    <row r="37" spans="1:25">
      <c r="A37" s="29" t="s">
        <v>409</v>
      </c>
      <c r="B37" s="4" t="s">
        <v>141</v>
      </c>
      <c r="C37" s="4" t="s">
        <v>7</v>
      </c>
      <c r="D37" s="4" t="s">
        <v>145</v>
      </c>
      <c r="E37" s="4" t="s">
        <v>416</v>
      </c>
      <c r="F37" s="4" t="s">
        <v>417</v>
      </c>
      <c r="G37" s="4" t="s">
        <v>32</v>
      </c>
      <c r="H37" s="4" t="s">
        <v>162</v>
      </c>
      <c r="I37" s="4" t="s">
        <v>470</v>
      </c>
      <c r="J37" s="4" t="s">
        <v>471</v>
      </c>
      <c r="K37" s="4" t="s">
        <v>1</v>
      </c>
      <c r="L37" s="4" t="s">
        <v>1076</v>
      </c>
      <c r="M37" s="7">
        <v>318</v>
      </c>
      <c r="N37" s="7">
        <v>2277</v>
      </c>
      <c r="O37" s="4" t="s">
        <v>1099</v>
      </c>
      <c r="P37" s="4"/>
      <c r="Q37" s="4" t="s">
        <v>1068</v>
      </c>
      <c r="R37" s="4" t="s">
        <v>6</v>
      </c>
      <c r="S37" s="4" t="s">
        <v>420</v>
      </c>
      <c r="T37" s="4" t="s">
        <v>141</v>
      </c>
      <c r="U37" s="4" t="s">
        <v>409</v>
      </c>
      <c r="V37" s="4" t="s">
        <v>145</v>
      </c>
      <c r="W37" s="4" t="s">
        <v>7</v>
      </c>
      <c r="X37" s="4"/>
      <c r="Y37" s="24"/>
    </row>
    <row r="38" spans="1:25">
      <c r="A38" s="29" t="s">
        <v>409</v>
      </c>
      <c r="B38" s="4" t="s">
        <v>141</v>
      </c>
      <c r="C38" s="4" t="s">
        <v>7</v>
      </c>
      <c r="D38" s="4" t="s">
        <v>145</v>
      </c>
      <c r="E38" s="4" t="s">
        <v>416</v>
      </c>
      <c r="F38" s="4" t="s">
        <v>417</v>
      </c>
      <c r="G38" s="4" t="s">
        <v>32</v>
      </c>
      <c r="H38" s="4" t="s">
        <v>162</v>
      </c>
      <c r="I38" s="4" t="s">
        <v>470</v>
      </c>
      <c r="J38" s="4" t="s">
        <v>471</v>
      </c>
      <c r="K38" s="4" t="s">
        <v>1</v>
      </c>
      <c r="L38" s="4" t="s">
        <v>1074</v>
      </c>
      <c r="M38" s="7">
        <v>102</v>
      </c>
      <c r="N38" s="7">
        <v>664</v>
      </c>
      <c r="O38" s="4" t="s">
        <v>1078</v>
      </c>
      <c r="P38" s="4"/>
      <c r="Q38" s="4" t="s">
        <v>1068</v>
      </c>
      <c r="R38" s="4" t="s">
        <v>6</v>
      </c>
      <c r="S38" s="4" t="s">
        <v>420</v>
      </c>
      <c r="T38" s="4" t="s">
        <v>141</v>
      </c>
      <c r="U38" s="4" t="s">
        <v>409</v>
      </c>
      <c r="V38" s="4" t="s">
        <v>145</v>
      </c>
      <c r="W38" s="4" t="s">
        <v>7</v>
      </c>
      <c r="X38" s="4"/>
      <c r="Y38" s="24"/>
    </row>
    <row r="39" spans="1:25">
      <c r="A39" s="29" t="s">
        <v>409</v>
      </c>
      <c r="B39" s="4" t="s">
        <v>141</v>
      </c>
      <c r="C39" s="4" t="s">
        <v>7</v>
      </c>
      <c r="D39" s="4" t="s">
        <v>145</v>
      </c>
      <c r="E39" s="4" t="s">
        <v>416</v>
      </c>
      <c r="F39" s="4" t="s">
        <v>417</v>
      </c>
      <c r="G39" s="4" t="s">
        <v>32</v>
      </c>
      <c r="H39" s="4" t="s">
        <v>162</v>
      </c>
      <c r="I39" s="4" t="s">
        <v>470</v>
      </c>
      <c r="J39" s="4" t="s">
        <v>471</v>
      </c>
      <c r="K39" s="4" t="s">
        <v>1</v>
      </c>
      <c r="L39" s="4" t="s">
        <v>1072</v>
      </c>
      <c r="M39" s="7">
        <v>11</v>
      </c>
      <c r="N39" s="7">
        <v>70</v>
      </c>
      <c r="O39" s="4" t="s">
        <v>1099</v>
      </c>
      <c r="P39" s="4"/>
      <c r="Q39" s="4" t="s">
        <v>1067</v>
      </c>
      <c r="R39" s="4" t="s">
        <v>6</v>
      </c>
      <c r="S39" s="4" t="s">
        <v>420</v>
      </c>
      <c r="T39" s="4" t="s">
        <v>141</v>
      </c>
      <c r="U39" s="4" t="s">
        <v>409</v>
      </c>
      <c r="V39" s="4" t="s">
        <v>148</v>
      </c>
      <c r="W39" s="4" t="s">
        <v>27</v>
      </c>
      <c r="X39" s="4"/>
      <c r="Y39" s="24"/>
    </row>
    <row r="40" spans="1:25">
      <c r="A40" s="29" t="s">
        <v>409</v>
      </c>
      <c r="B40" s="4" t="s">
        <v>141</v>
      </c>
      <c r="C40" s="4" t="s">
        <v>7</v>
      </c>
      <c r="D40" s="4" t="s">
        <v>145</v>
      </c>
      <c r="E40" s="4" t="s">
        <v>416</v>
      </c>
      <c r="F40" s="4" t="s">
        <v>417</v>
      </c>
      <c r="G40" s="4" t="s">
        <v>32</v>
      </c>
      <c r="H40" s="4" t="s">
        <v>162</v>
      </c>
      <c r="I40" s="4" t="s">
        <v>470</v>
      </c>
      <c r="J40" s="4" t="s">
        <v>471</v>
      </c>
      <c r="K40" s="4" t="s">
        <v>1</v>
      </c>
      <c r="L40" s="4" t="s">
        <v>1077</v>
      </c>
      <c r="M40" s="7">
        <v>464</v>
      </c>
      <c r="N40" s="7">
        <v>3481</v>
      </c>
      <c r="O40" s="4" t="s">
        <v>1099</v>
      </c>
      <c r="P40" s="4"/>
      <c r="Q40" s="4" t="s">
        <v>1068</v>
      </c>
      <c r="R40" s="4" t="s">
        <v>6</v>
      </c>
      <c r="S40" s="4" t="s">
        <v>420</v>
      </c>
      <c r="T40" s="4" t="s">
        <v>141</v>
      </c>
      <c r="U40" s="4" t="s">
        <v>409</v>
      </c>
      <c r="V40" s="4" t="s">
        <v>145</v>
      </c>
      <c r="W40" s="4" t="s">
        <v>7</v>
      </c>
      <c r="X40" s="4"/>
      <c r="Y40" s="24"/>
    </row>
    <row r="41" spans="1:25">
      <c r="A41" s="29" t="s">
        <v>409</v>
      </c>
      <c r="B41" s="4" t="s">
        <v>141</v>
      </c>
      <c r="C41" s="4" t="s">
        <v>7</v>
      </c>
      <c r="D41" s="4" t="s">
        <v>145</v>
      </c>
      <c r="E41" s="4" t="s">
        <v>416</v>
      </c>
      <c r="F41" s="4" t="s">
        <v>417</v>
      </c>
      <c r="G41" s="4" t="s">
        <v>32</v>
      </c>
      <c r="H41" s="4" t="s">
        <v>162</v>
      </c>
      <c r="I41" s="4" t="s">
        <v>470</v>
      </c>
      <c r="J41" s="4" t="s">
        <v>471</v>
      </c>
      <c r="K41" s="4" t="s">
        <v>1</v>
      </c>
      <c r="L41" s="4" t="s">
        <v>1075</v>
      </c>
      <c r="M41" s="7">
        <v>87</v>
      </c>
      <c r="N41" s="7">
        <v>441</v>
      </c>
      <c r="O41" s="4" t="s">
        <v>1099</v>
      </c>
      <c r="P41" s="4"/>
      <c r="Q41" s="4" t="s">
        <v>1068</v>
      </c>
      <c r="R41" s="4" t="s">
        <v>6</v>
      </c>
      <c r="S41" s="4" t="s">
        <v>420</v>
      </c>
      <c r="T41" s="4" t="s">
        <v>141</v>
      </c>
      <c r="U41" s="4" t="s">
        <v>409</v>
      </c>
      <c r="V41" s="4" t="s">
        <v>145</v>
      </c>
      <c r="W41" s="4" t="s">
        <v>7</v>
      </c>
      <c r="X41" s="4"/>
      <c r="Y41" s="24"/>
    </row>
    <row r="42" spans="1:25">
      <c r="A42" s="29" t="s">
        <v>409</v>
      </c>
      <c r="B42" s="4" t="s">
        <v>141</v>
      </c>
      <c r="C42" s="4" t="s">
        <v>7</v>
      </c>
      <c r="D42" s="4" t="s">
        <v>145</v>
      </c>
      <c r="E42" s="4" t="s">
        <v>416</v>
      </c>
      <c r="F42" s="4" t="s">
        <v>417</v>
      </c>
      <c r="G42" s="4" t="s">
        <v>8</v>
      </c>
      <c r="H42" s="4" t="s">
        <v>165</v>
      </c>
      <c r="I42" s="4" t="s">
        <v>492</v>
      </c>
      <c r="J42" s="4" t="s">
        <v>493</v>
      </c>
      <c r="K42" s="4" t="s">
        <v>1</v>
      </c>
      <c r="L42" s="4" t="s">
        <v>1075</v>
      </c>
      <c r="M42" s="7">
        <v>340</v>
      </c>
      <c r="N42" s="7">
        <v>1700</v>
      </c>
      <c r="O42" s="4" t="s">
        <v>1099</v>
      </c>
      <c r="P42" s="4"/>
      <c r="Q42" s="4" t="s">
        <v>1068</v>
      </c>
      <c r="R42" s="4" t="s">
        <v>6</v>
      </c>
      <c r="S42" s="4" t="s">
        <v>420</v>
      </c>
      <c r="T42" s="4" t="s">
        <v>141</v>
      </c>
      <c r="U42" s="4" t="s">
        <v>409</v>
      </c>
      <c r="V42" s="4" t="s">
        <v>145</v>
      </c>
      <c r="W42" s="4" t="s">
        <v>7</v>
      </c>
      <c r="X42" s="4"/>
      <c r="Y42" s="24"/>
    </row>
    <row r="43" spans="1:25">
      <c r="A43" s="29" t="s">
        <v>409</v>
      </c>
      <c r="B43" s="4" t="s">
        <v>141</v>
      </c>
      <c r="C43" s="4" t="s">
        <v>7</v>
      </c>
      <c r="D43" s="4" t="s">
        <v>145</v>
      </c>
      <c r="E43" s="4" t="s">
        <v>416</v>
      </c>
      <c r="F43" s="4" t="s">
        <v>417</v>
      </c>
      <c r="G43" s="4" t="s">
        <v>8</v>
      </c>
      <c r="H43" s="4" t="s">
        <v>165</v>
      </c>
      <c r="I43" s="4" t="s">
        <v>492</v>
      </c>
      <c r="J43" s="4" t="s">
        <v>493</v>
      </c>
      <c r="K43" s="4" t="s">
        <v>1</v>
      </c>
      <c r="L43" s="4" t="s">
        <v>1076</v>
      </c>
      <c r="M43" s="7">
        <v>3289</v>
      </c>
      <c r="N43" s="7">
        <v>13672</v>
      </c>
      <c r="O43" s="4" t="s">
        <v>1099</v>
      </c>
      <c r="P43" s="4"/>
      <c r="Q43" s="4" t="s">
        <v>1068</v>
      </c>
      <c r="R43" s="4" t="s">
        <v>6</v>
      </c>
      <c r="S43" s="4" t="s">
        <v>420</v>
      </c>
      <c r="T43" s="4" t="s">
        <v>141</v>
      </c>
      <c r="U43" s="4" t="s">
        <v>409</v>
      </c>
      <c r="V43" s="4" t="s">
        <v>145</v>
      </c>
      <c r="W43" s="4" t="s">
        <v>7</v>
      </c>
      <c r="X43" s="4"/>
      <c r="Y43" s="24"/>
    </row>
    <row r="44" spans="1:25">
      <c r="A44" s="29" t="s">
        <v>409</v>
      </c>
      <c r="B44" s="4" t="s">
        <v>141</v>
      </c>
      <c r="C44" s="4" t="s">
        <v>7</v>
      </c>
      <c r="D44" s="4" t="s">
        <v>145</v>
      </c>
      <c r="E44" s="4" t="s">
        <v>416</v>
      </c>
      <c r="F44" s="4" t="s">
        <v>417</v>
      </c>
      <c r="G44" s="4" t="s">
        <v>8</v>
      </c>
      <c r="H44" s="4" t="s">
        <v>165</v>
      </c>
      <c r="I44" s="4" t="s">
        <v>492</v>
      </c>
      <c r="J44" s="4" t="s">
        <v>493</v>
      </c>
      <c r="K44" s="4" t="s">
        <v>1</v>
      </c>
      <c r="L44" s="4" t="s">
        <v>1072</v>
      </c>
      <c r="M44" s="7">
        <v>765</v>
      </c>
      <c r="N44" s="7">
        <v>3850</v>
      </c>
      <c r="O44" s="4" t="s">
        <v>1099</v>
      </c>
      <c r="P44" s="4"/>
      <c r="Q44" s="4" t="s">
        <v>1068</v>
      </c>
      <c r="R44" s="4" t="s">
        <v>6</v>
      </c>
      <c r="S44" s="4" t="s">
        <v>420</v>
      </c>
      <c r="T44" s="4" t="s">
        <v>141</v>
      </c>
      <c r="U44" s="4" t="s">
        <v>409</v>
      </c>
      <c r="V44" s="4" t="s">
        <v>145</v>
      </c>
      <c r="W44" s="4" t="s">
        <v>7</v>
      </c>
      <c r="X44" s="4"/>
      <c r="Y44" s="24"/>
    </row>
    <row r="45" spans="1:25">
      <c r="A45" s="29" t="s">
        <v>409</v>
      </c>
      <c r="B45" s="4" t="s">
        <v>141</v>
      </c>
      <c r="C45" s="4" t="s">
        <v>7</v>
      </c>
      <c r="D45" s="4" t="s">
        <v>145</v>
      </c>
      <c r="E45" s="4" t="s">
        <v>416</v>
      </c>
      <c r="F45" s="4" t="s">
        <v>417</v>
      </c>
      <c r="G45" s="4" t="s">
        <v>8</v>
      </c>
      <c r="H45" s="4" t="s">
        <v>165</v>
      </c>
      <c r="I45" s="4" t="s">
        <v>492</v>
      </c>
      <c r="J45" s="4" t="s">
        <v>493</v>
      </c>
      <c r="K45" s="4" t="s">
        <v>1</v>
      </c>
      <c r="L45" s="4" t="s">
        <v>1073</v>
      </c>
      <c r="M45" s="7">
        <v>2746</v>
      </c>
      <c r="N45" s="7">
        <v>16478</v>
      </c>
      <c r="O45" s="4" t="s">
        <v>1099</v>
      </c>
      <c r="P45" s="4"/>
      <c r="Q45" s="4" t="s">
        <v>1068</v>
      </c>
      <c r="R45" s="4" t="s">
        <v>6</v>
      </c>
      <c r="S45" s="4" t="s">
        <v>420</v>
      </c>
      <c r="T45" s="4" t="s">
        <v>141</v>
      </c>
      <c r="U45" s="4" t="s">
        <v>409</v>
      </c>
      <c r="V45" s="4" t="s">
        <v>145</v>
      </c>
      <c r="W45" s="4" t="s">
        <v>7</v>
      </c>
      <c r="X45" s="4"/>
      <c r="Y45" s="24"/>
    </row>
    <row r="46" spans="1:25">
      <c r="A46" s="29" t="s">
        <v>409</v>
      </c>
      <c r="B46" s="4" t="s">
        <v>141</v>
      </c>
      <c r="C46" s="4" t="s">
        <v>7</v>
      </c>
      <c r="D46" s="4" t="s">
        <v>145</v>
      </c>
      <c r="E46" s="4" t="s">
        <v>416</v>
      </c>
      <c r="F46" s="4" t="s">
        <v>417</v>
      </c>
      <c r="G46" s="4" t="s">
        <v>8</v>
      </c>
      <c r="H46" s="4" t="s">
        <v>165</v>
      </c>
      <c r="I46" s="4" t="s">
        <v>492</v>
      </c>
      <c r="J46" s="4" t="s">
        <v>493</v>
      </c>
      <c r="K46" s="4" t="s">
        <v>1</v>
      </c>
      <c r="L46" s="4" t="s">
        <v>1077</v>
      </c>
      <c r="M46" s="7">
        <v>200</v>
      </c>
      <c r="N46" s="7">
        <v>1000</v>
      </c>
      <c r="O46" s="4" t="s">
        <v>1099</v>
      </c>
      <c r="P46" s="4"/>
      <c r="Q46" s="4" t="s">
        <v>1068</v>
      </c>
      <c r="R46" s="4" t="s">
        <v>6</v>
      </c>
      <c r="S46" s="4" t="s">
        <v>420</v>
      </c>
      <c r="T46" s="4" t="s">
        <v>141</v>
      </c>
      <c r="U46" s="4" t="s">
        <v>409</v>
      </c>
      <c r="V46" s="4" t="s">
        <v>145</v>
      </c>
      <c r="W46" s="4" t="s">
        <v>7</v>
      </c>
      <c r="X46" s="4"/>
      <c r="Y46" s="24"/>
    </row>
    <row r="47" spans="1:25">
      <c r="A47" s="29" t="s">
        <v>409</v>
      </c>
      <c r="B47" s="4" t="s">
        <v>141</v>
      </c>
      <c r="C47" s="4" t="s">
        <v>7</v>
      </c>
      <c r="D47" s="4" t="s">
        <v>145</v>
      </c>
      <c r="E47" s="4" t="s">
        <v>416</v>
      </c>
      <c r="F47" s="4" t="s">
        <v>417</v>
      </c>
      <c r="G47" s="4" t="s">
        <v>25</v>
      </c>
      <c r="H47" s="4" t="s">
        <v>159</v>
      </c>
      <c r="I47" s="4" t="s">
        <v>480</v>
      </c>
      <c r="J47" s="4" t="s">
        <v>481</v>
      </c>
      <c r="K47" s="4" t="s">
        <v>1</v>
      </c>
      <c r="L47" s="4" t="s">
        <v>1072</v>
      </c>
      <c r="M47" s="7">
        <v>329</v>
      </c>
      <c r="N47" s="7">
        <v>1645</v>
      </c>
      <c r="O47" s="4" t="s">
        <v>1099</v>
      </c>
      <c r="P47" s="4"/>
      <c r="Q47" s="4" t="s">
        <v>1068</v>
      </c>
      <c r="R47" s="4" t="s">
        <v>6</v>
      </c>
      <c r="S47" s="4" t="s">
        <v>420</v>
      </c>
      <c r="T47" s="4" t="s">
        <v>141</v>
      </c>
      <c r="U47" s="4" t="s">
        <v>409</v>
      </c>
      <c r="V47" s="4" t="s">
        <v>145</v>
      </c>
      <c r="W47" s="4" t="s">
        <v>7</v>
      </c>
      <c r="X47" s="4"/>
      <c r="Y47" s="24"/>
    </row>
    <row r="48" spans="1:25">
      <c r="A48" s="29" t="s">
        <v>409</v>
      </c>
      <c r="B48" s="4" t="s">
        <v>141</v>
      </c>
      <c r="C48" s="4" t="s">
        <v>7</v>
      </c>
      <c r="D48" s="4" t="s">
        <v>145</v>
      </c>
      <c r="E48" s="4" t="s">
        <v>416</v>
      </c>
      <c r="F48" s="4" t="s">
        <v>417</v>
      </c>
      <c r="G48" s="4" t="s">
        <v>25</v>
      </c>
      <c r="H48" s="4" t="s">
        <v>159</v>
      </c>
      <c r="I48" s="4" t="s">
        <v>480</v>
      </c>
      <c r="J48" s="4" t="s">
        <v>481</v>
      </c>
      <c r="K48" s="4" t="s">
        <v>1</v>
      </c>
      <c r="L48" s="4" t="s">
        <v>1075</v>
      </c>
      <c r="M48" s="7">
        <v>4</v>
      </c>
      <c r="N48" s="7">
        <v>20</v>
      </c>
      <c r="O48" s="4" t="s">
        <v>1099</v>
      </c>
      <c r="P48" s="4"/>
      <c r="Q48" s="4" t="s">
        <v>1067</v>
      </c>
      <c r="R48" s="4" t="s">
        <v>6</v>
      </c>
      <c r="S48" s="4" t="s">
        <v>420</v>
      </c>
      <c r="T48" s="4" t="s">
        <v>141</v>
      </c>
      <c r="U48" s="4" t="s">
        <v>409</v>
      </c>
      <c r="V48" s="4" t="s">
        <v>148</v>
      </c>
      <c r="W48" s="4" t="s">
        <v>27</v>
      </c>
      <c r="X48" s="4"/>
      <c r="Y48" s="24"/>
    </row>
    <row r="49" spans="1:25">
      <c r="A49" s="29" t="s">
        <v>409</v>
      </c>
      <c r="B49" s="4" t="s">
        <v>141</v>
      </c>
      <c r="C49" s="4" t="s">
        <v>7</v>
      </c>
      <c r="D49" s="4" t="s">
        <v>145</v>
      </c>
      <c r="E49" s="4" t="s">
        <v>416</v>
      </c>
      <c r="F49" s="4" t="s">
        <v>417</v>
      </c>
      <c r="G49" s="4" t="s">
        <v>9</v>
      </c>
      <c r="H49" s="4" t="s">
        <v>160</v>
      </c>
      <c r="I49" s="4" t="s">
        <v>446</v>
      </c>
      <c r="J49" s="4" t="s">
        <v>447</v>
      </c>
      <c r="K49" s="4" t="s">
        <v>1</v>
      </c>
      <c r="L49" s="4" t="s">
        <v>1076</v>
      </c>
      <c r="M49" s="7">
        <v>1715</v>
      </c>
      <c r="N49" s="7">
        <v>8575</v>
      </c>
      <c r="O49" s="4" t="s">
        <v>1078</v>
      </c>
      <c r="P49" s="4"/>
      <c r="Q49" s="4" t="s">
        <v>1067</v>
      </c>
      <c r="R49" s="4" t="s">
        <v>6</v>
      </c>
      <c r="S49" s="4" t="s">
        <v>420</v>
      </c>
      <c r="T49" s="4" t="s">
        <v>141</v>
      </c>
      <c r="U49" s="4" t="s">
        <v>409</v>
      </c>
      <c r="V49" s="4" t="s">
        <v>146</v>
      </c>
      <c r="W49" s="4" t="s">
        <v>10</v>
      </c>
      <c r="X49" s="4"/>
      <c r="Y49" s="24"/>
    </row>
    <row r="50" spans="1:25">
      <c r="A50" s="29" t="s">
        <v>409</v>
      </c>
      <c r="B50" s="4" t="s">
        <v>141</v>
      </c>
      <c r="C50" s="4" t="s">
        <v>7</v>
      </c>
      <c r="D50" s="4" t="s">
        <v>145</v>
      </c>
      <c r="E50" s="4" t="s">
        <v>416</v>
      </c>
      <c r="F50" s="4" t="s">
        <v>417</v>
      </c>
      <c r="G50" s="4" t="s">
        <v>21</v>
      </c>
      <c r="H50" s="4" t="s">
        <v>164</v>
      </c>
      <c r="I50" s="4" t="s">
        <v>490</v>
      </c>
      <c r="J50" s="4" t="s">
        <v>491</v>
      </c>
      <c r="K50" s="4" t="s">
        <v>1065</v>
      </c>
      <c r="L50" s="4" t="s">
        <v>1073</v>
      </c>
      <c r="M50" s="7">
        <v>370</v>
      </c>
      <c r="N50" s="7">
        <v>1850</v>
      </c>
      <c r="O50" s="4" t="s">
        <v>1099</v>
      </c>
      <c r="P50" s="4"/>
      <c r="Q50" s="4" t="s">
        <v>1070</v>
      </c>
      <c r="R50" s="4" t="s">
        <v>402</v>
      </c>
      <c r="S50" s="4" t="s">
        <v>500</v>
      </c>
      <c r="T50" s="4" t="s">
        <v>42</v>
      </c>
      <c r="U50" s="4" t="s">
        <v>501</v>
      </c>
      <c r="V50" s="4"/>
      <c r="W50" s="4"/>
      <c r="X50" s="4"/>
      <c r="Y50" s="24"/>
    </row>
    <row r="51" spans="1:25">
      <c r="A51" s="29" t="s">
        <v>409</v>
      </c>
      <c r="B51" s="4" t="s">
        <v>141</v>
      </c>
      <c r="C51" s="4" t="s">
        <v>7</v>
      </c>
      <c r="D51" s="4" t="s">
        <v>145</v>
      </c>
      <c r="E51" s="4" t="s">
        <v>416</v>
      </c>
      <c r="F51" s="4" t="s">
        <v>417</v>
      </c>
      <c r="G51" s="4" t="s">
        <v>21</v>
      </c>
      <c r="H51" s="4" t="s">
        <v>164</v>
      </c>
      <c r="I51" s="4" t="s">
        <v>490</v>
      </c>
      <c r="J51" s="4" t="s">
        <v>491</v>
      </c>
      <c r="K51" s="4" t="s">
        <v>1065</v>
      </c>
      <c r="L51" s="4" t="s">
        <v>1076</v>
      </c>
      <c r="M51" s="7">
        <v>341</v>
      </c>
      <c r="N51" s="7">
        <v>1705</v>
      </c>
      <c r="O51" s="4" t="s">
        <v>1099</v>
      </c>
      <c r="P51" s="4"/>
      <c r="Q51" s="4" t="s">
        <v>1070</v>
      </c>
      <c r="R51" s="4" t="s">
        <v>402</v>
      </c>
      <c r="S51" s="4" t="s">
        <v>500</v>
      </c>
      <c r="T51" s="4" t="s">
        <v>42</v>
      </c>
      <c r="U51" s="4" t="s">
        <v>501</v>
      </c>
      <c r="V51" s="4"/>
      <c r="W51" s="4"/>
      <c r="X51" s="4"/>
      <c r="Y51" s="24"/>
    </row>
    <row r="52" spans="1:25">
      <c r="A52" s="29" t="s">
        <v>409</v>
      </c>
      <c r="B52" s="4" t="s">
        <v>141</v>
      </c>
      <c r="C52" s="4" t="s">
        <v>7</v>
      </c>
      <c r="D52" s="4" t="s">
        <v>145</v>
      </c>
      <c r="E52" s="4" t="s">
        <v>416</v>
      </c>
      <c r="F52" s="4" t="s">
        <v>417</v>
      </c>
      <c r="G52" s="4" t="s">
        <v>21</v>
      </c>
      <c r="H52" s="4" t="s">
        <v>164</v>
      </c>
      <c r="I52" s="4" t="s">
        <v>490</v>
      </c>
      <c r="J52" s="4" t="s">
        <v>491</v>
      </c>
      <c r="K52" s="4" t="s">
        <v>1065</v>
      </c>
      <c r="L52" s="4" t="s">
        <v>1072</v>
      </c>
      <c r="M52" s="7">
        <v>289</v>
      </c>
      <c r="N52" s="7">
        <v>1445</v>
      </c>
      <c r="O52" s="4" t="s">
        <v>1099</v>
      </c>
      <c r="P52" s="4"/>
      <c r="Q52" s="4" t="s">
        <v>1070</v>
      </c>
      <c r="R52" s="4" t="s">
        <v>402</v>
      </c>
      <c r="S52" s="4" t="s">
        <v>500</v>
      </c>
      <c r="T52" s="4" t="s">
        <v>42</v>
      </c>
      <c r="U52" s="4" t="s">
        <v>501</v>
      </c>
      <c r="V52" s="4"/>
      <c r="W52" s="4"/>
      <c r="X52" s="4"/>
      <c r="Y52" s="24"/>
    </row>
    <row r="53" spans="1:25">
      <c r="A53" s="29" t="s">
        <v>409</v>
      </c>
      <c r="B53" s="4" t="s">
        <v>141</v>
      </c>
      <c r="C53" s="4" t="s">
        <v>7</v>
      </c>
      <c r="D53" s="4" t="s">
        <v>145</v>
      </c>
      <c r="E53" s="4" t="s">
        <v>416</v>
      </c>
      <c r="F53" s="4" t="s">
        <v>417</v>
      </c>
      <c r="G53" s="4" t="s">
        <v>25</v>
      </c>
      <c r="H53" s="4" t="s">
        <v>159</v>
      </c>
      <c r="I53" s="4" t="s">
        <v>480</v>
      </c>
      <c r="J53" s="4" t="s">
        <v>481</v>
      </c>
      <c r="K53" s="4" t="s">
        <v>1065</v>
      </c>
      <c r="L53" s="4" t="s">
        <v>1072</v>
      </c>
      <c r="M53" s="7">
        <v>105</v>
      </c>
      <c r="N53" s="7">
        <v>525</v>
      </c>
      <c r="O53" s="4" t="s">
        <v>1099</v>
      </c>
      <c r="P53" s="4"/>
      <c r="Q53" s="4" t="s">
        <v>1070</v>
      </c>
      <c r="R53" s="4" t="s">
        <v>402</v>
      </c>
      <c r="S53" s="4" t="s">
        <v>500</v>
      </c>
      <c r="T53" s="4" t="s">
        <v>42</v>
      </c>
      <c r="U53" s="4" t="s">
        <v>501</v>
      </c>
      <c r="V53" s="4"/>
      <c r="W53" s="4"/>
      <c r="X53" s="4"/>
      <c r="Y53" s="24"/>
    </row>
    <row r="54" spans="1:25">
      <c r="A54" s="29" t="s">
        <v>409</v>
      </c>
      <c r="B54" s="4" t="s">
        <v>141</v>
      </c>
      <c r="C54" s="4" t="s">
        <v>7</v>
      </c>
      <c r="D54" s="4" t="s">
        <v>145</v>
      </c>
      <c r="E54" s="4" t="s">
        <v>416</v>
      </c>
      <c r="F54" s="4" t="s">
        <v>417</v>
      </c>
      <c r="G54" s="4" t="s">
        <v>25</v>
      </c>
      <c r="H54" s="4" t="s">
        <v>159</v>
      </c>
      <c r="I54" s="4" t="s">
        <v>480</v>
      </c>
      <c r="J54" s="4" t="s">
        <v>481</v>
      </c>
      <c r="K54" s="4" t="s">
        <v>1065</v>
      </c>
      <c r="L54" s="4" t="s">
        <v>1073</v>
      </c>
      <c r="M54" s="7">
        <v>271</v>
      </c>
      <c r="N54" s="7">
        <v>1355</v>
      </c>
      <c r="O54" s="4" t="s">
        <v>1099</v>
      </c>
      <c r="P54" s="4"/>
      <c r="Q54" s="4" t="s">
        <v>1070</v>
      </c>
      <c r="R54" s="4" t="s">
        <v>402</v>
      </c>
      <c r="S54" s="4" t="s">
        <v>500</v>
      </c>
      <c r="T54" s="4" t="s">
        <v>42</v>
      </c>
      <c r="U54" s="4" t="s">
        <v>501</v>
      </c>
      <c r="V54" s="4"/>
      <c r="W54" s="4"/>
      <c r="X54" s="4"/>
      <c r="Y54" s="24"/>
    </row>
    <row r="55" spans="1:25">
      <c r="A55" s="29" t="s">
        <v>409</v>
      </c>
      <c r="B55" s="4" t="s">
        <v>141</v>
      </c>
      <c r="C55" s="4" t="s">
        <v>7</v>
      </c>
      <c r="D55" s="4" t="s">
        <v>145</v>
      </c>
      <c r="E55" s="4" t="s">
        <v>416</v>
      </c>
      <c r="F55" s="4" t="s">
        <v>417</v>
      </c>
      <c r="G55" s="4" t="s">
        <v>21</v>
      </c>
      <c r="H55" s="4" t="s">
        <v>164</v>
      </c>
      <c r="I55" s="4" t="s">
        <v>490</v>
      </c>
      <c r="J55" s="4" t="s">
        <v>491</v>
      </c>
      <c r="K55" s="4" t="s">
        <v>1066</v>
      </c>
      <c r="L55" s="4" t="s">
        <v>1075</v>
      </c>
      <c r="M55" s="7">
        <v>700</v>
      </c>
      <c r="N55" s="7">
        <v>3500</v>
      </c>
      <c r="O55" s="4"/>
      <c r="P55" s="4"/>
      <c r="Q55" s="4" t="s">
        <v>1071</v>
      </c>
      <c r="R55" s="4" t="s">
        <v>6</v>
      </c>
      <c r="S55" s="4" t="s">
        <v>420</v>
      </c>
      <c r="T55" s="4" t="s">
        <v>141</v>
      </c>
      <c r="U55" s="4" t="s">
        <v>409</v>
      </c>
      <c r="V55" s="4"/>
      <c r="W55" s="4"/>
      <c r="X55" s="4"/>
      <c r="Y55" s="24"/>
    </row>
    <row r="56" spans="1:25">
      <c r="A56" s="29" t="s">
        <v>409</v>
      </c>
      <c r="B56" s="4" t="s">
        <v>141</v>
      </c>
      <c r="C56" s="4" t="s">
        <v>7</v>
      </c>
      <c r="D56" s="4" t="s">
        <v>145</v>
      </c>
      <c r="E56" s="4" t="s">
        <v>416</v>
      </c>
      <c r="F56" s="4" t="s">
        <v>417</v>
      </c>
      <c r="G56" s="4" t="s">
        <v>21</v>
      </c>
      <c r="H56" s="4" t="s">
        <v>164</v>
      </c>
      <c r="I56" s="4" t="s">
        <v>490</v>
      </c>
      <c r="J56" s="4" t="s">
        <v>491</v>
      </c>
      <c r="K56" s="4" t="s">
        <v>1066</v>
      </c>
      <c r="L56" s="4" t="s">
        <v>1076</v>
      </c>
      <c r="M56" s="7">
        <v>478</v>
      </c>
      <c r="N56" s="7">
        <v>2390</v>
      </c>
      <c r="O56" s="4"/>
      <c r="P56" s="4"/>
      <c r="Q56" s="4" t="s">
        <v>1071</v>
      </c>
      <c r="R56" s="4" t="s">
        <v>6</v>
      </c>
      <c r="S56" s="4" t="s">
        <v>420</v>
      </c>
      <c r="T56" s="4" t="s">
        <v>141</v>
      </c>
      <c r="U56" s="4" t="s">
        <v>409</v>
      </c>
      <c r="V56" s="4"/>
      <c r="W56" s="4"/>
      <c r="X56" s="4"/>
      <c r="Y56" s="24"/>
    </row>
    <row r="57" spans="1:25">
      <c r="A57" s="29" t="s">
        <v>409</v>
      </c>
      <c r="B57" s="4" t="s">
        <v>141</v>
      </c>
      <c r="C57" s="4" t="s">
        <v>7</v>
      </c>
      <c r="D57" s="4" t="s">
        <v>145</v>
      </c>
      <c r="E57" s="4" t="s">
        <v>416</v>
      </c>
      <c r="F57" s="4" t="s">
        <v>417</v>
      </c>
      <c r="G57" s="4" t="s">
        <v>21</v>
      </c>
      <c r="H57" s="4" t="s">
        <v>164</v>
      </c>
      <c r="I57" s="4" t="s">
        <v>490</v>
      </c>
      <c r="J57" s="4" t="s">
        <v>491</v>
      </c>
      <c r="K57" s="4" t="s">
        <v>1066</v>
      </c>
      <c r="L57" s="4" t="s">
        <v>1072</v>
      </c>
      <c r="M57" s="7">
        <v>850</v>
      </c>
      <c r="N57" s="7">
        <v>4250</v>
      </c>
      <c r="O57" s="4"/>
      <c r="P57" s="4"/>
      <c r="Q57" s="4" t="s">
        <v>1071</v>
      </c>
      <c r="R57" s="4" t="s">
        <v>6</v>
      </c>
      <c r="S57" s="4" t="s">
        <v>420</v>
      </c>
      <c r="T57" s="4" t="s">
        <v>141</v>
      </c>
      <c r="U57" s="4" t="s">
        <v>409</v>
      </c>
      <c r="V57" s="4"/>
      <c r="W57" s="4"/>
      <c r="X57" s="4"/>
      <c r="Y57" s="24"/>
    </row>
    <row r="58" spans="1:25">
      <c r="A58" s="29" t="s">
        <v>409</v>
      </c>
      <c r="B58" s="4" t="s">
        <v>141</v>
      </c>
      <c r="C58" s="4" t="s">
        <v>7</v>
      </c>
      <c r="D58" s="4" t="s">
        <v>145</v>
      </c>
      <c r="E58" s="4" t="s">
        <v>416</v>
      </c>
      <c r="F58" s="4" t="s">
        <v>417</v>
      </c>
      <c r="G58" s="4" t="s">
        <v>135</v>
      </c>
      <c r="H58" s="4" t="s">
        <v>166</v>
      </c>
      <c r="I58" s="4" t="s">
        <v>441</v>
      </c>
      <c r="J58" s="4" t="s">
        <v>442</v>
      </c>
      <c r="K58" s="4" t="s">
        <v>1066</v>
      </c>
      <c r="L58" s="4" t="s">
        <v>1076</v>
      </c>
      <c r="M58" s="7">
        <v>327</v>
      </c>
      <c r="N58" s="7">
        <v>1525</v>
      </c>
      <c r="O58" s="4"/>
      <c r="P58" s="4"/>
      <c r="Q58" s="4" t="s">
        <v>1071</v>
      </c>
      <c r="R58" s="4" t="s">
        <v>6</v>
      </c>
      <c r="S58" s="4" t="s">
        <v>420</v>
      </c>
      <c r="T58" s="4" t="s">
        <v>141</v>
      </c>
      <c r="U58" s="4" t="s">
        <v>409</v>
      </c>
      <c r="V58" s="4"/>
      <c r="W58" s="4"/>
      <c r="X58" s="4"/>
      <c r="Y58" s="24"/>
    </row>
    <row r="59" spans="1:25">
      <c r="A59" s="29" t="s">
        <v>409</v>
      </c>
      <c r="B59" s="4" t="s">
        <v>141</v>
      </c>
      <c r="C59" s="4" t="s">
        <v>7</v>
      </c>
      <c r="D59" s="4" t="s">
        <v>145</v>
      </c>
      <c r="E59" s="4" t="s">
        <v>416</v>
      </c>
      <c r="F59" s="4" t="s">
        <v>417</v>
      </c>
      <c r="G59" s="4" t="s">
        <v>32</v>
      </c>
      <c r="H59" s="4" t="s">
        <v>162</v>
      </c>
      <c r="I59" s="4" t="s">
        <v>470</v>
      </c>
      <c r="J59" s="4" t="s">
        <v>471</v>
      </c>
      <c r="K59" s="4" t="s">
        <v>1066</v>
      </c>
      <c r="L59" s="4" t="s">
        <v>1074</v>
      </c>
      <c r="M59" s="7">
        <v>88</v>
      </c>
      <c r="N59" s="7">
        <v>490</v>
      </c>
      <c r="O59" s="4"/>
      <c r="P59" s="4"/>
      <c r="Q59" s="4" t="s">
        <v>1071</v>
      </c>
      <c r="R59" s="4" t="s">
        <v>6</v>
      </c>
      <c r="S59" s="4" t="s">
        <v>420</v>
      </c>
      <c r="T59" s="4" t="s">
        <v>141</v>
      </c>
      <c r="U59" s="4" t="s">
        <v>409</v>
      </c>
      <c r="V59" s="4"/>
      <c r="W59" s="4"/>
      <c r="X59" s="4"/>
      <c r="Y59" s="24"/>
    </row>
    <row r="60" spans="1:25">
      <c r="A60" s="29" t="s">
        <v>409</v>
      </c>
      <c r="B60" s="4" t="s">
        <v>141</v>
      </c>
      <c r="C60" s="4" t="s">
        <v>7</v>
      </c>
      <c r="D60" s="4" t="s">
        <v>145</v>
      </c>
      <c r="E60" s="4" t="s">
        <v>416</v>
      </c>
      <c r="F60" s="4" t="s">
        <v>417</v>
      </c>
      <c r="G60" s="4" t="s">
        <v>8</v>
      </c>
      <c r="H60" s="4" t="s">
        <v>165</v>
      </c>
      <c r="I60" s="4" t="s">
        <v>492</v>
      </c>
      <c r="J60" s="4" t="s">
        <v>493</v>
      </c>
      <c r="K60" s="4" t="s">
        <v>1066</v>
      </c>
      <c r="L60" s="4" t="s">
        <v>1075</v>
      </c>
      <c r="M60" s="7">
        <v>1060</v>
      </c>
      <c r="N60" s="7">
        <v>5300</v>
      </c>
      <c r="O60" s="4"/>
      <c r="P60" s="4"/>
      <c r="Q60" s="4" t="s">
        <v>1071</v>
      </c>
      <c r="R60" s="4" t="s">
        <v>6</v>
      </c>
      <c r="S60" s="4" t="s">
        <v>420</v>
      </c>
      <c r="T60" s="4" t="s">
        <v>141</v>
      </c>
      <c r="U60" s="4" t="s">
        <v>409</v>
      </c>
      <c r="V60" s="4"/>
      <c r="W60" s="4"/>
      <c r="X60" s="4"/>
      <c r="Y60" s="24"/>
    </row>
    <row r="61" spans="1:25">
      <c r="A61" s="29" t="s">
        <v>409</v>
      </c>
      <c r="B61" s="4" t="s">
        <v>141</v>
      </c>
      <c r="C61" s="4" t="s">
        <v>7</v>
      </c>
      <c r="D61" s="4" t="s">
        <v>145</v>
      </c>
      <c r="E61" s="4" t="s">
        <v>416</v>
      </c>
      <c r="F61" s="4" t="s">
        <v>417</v>
      </c>
      <c r="G61" s="4" t="s">
        <v>25</v>
      </c>
      <c r="H61" s="4" t="s">
        <v>159</v>
      </c>
      <c r="I61" s="4" t="s">
        <v>480</v>
      </c>
      <c r="J61" s="4" t="s">
        <v>481</v>
      </c>
      <c r="K61" s="4" t="s">
        <v>1066</v>
      </c>
      <c r="L61" s="4" t="s">
        <v>1072</v>
      </c>
      <c r="M61" s="7">
        <v>15</v>
      </c>
      <c r="N61" s="7">
        <v>75</v>
      </c>
      <c r="O61" s="4"/>
      <c r="P61" s="4"/>
      <c r="Q61" s="4" t="s">
        <v>1071</v>
      </c>
      <c r="R61" s="4" t="s">
        <v>6</v>
      </c>
      <c r="S61" s="4" t="s">
        <v>420</v>
      </c>
      <c r="T61" s="4" t="s">
        <v>141</v>
      </c>
      <c r="U61" s="4" t="s">
        <v>409</v>
      </c>
      <c r="V61" s="4"/>
      <c r="W61" s="4"/>
      <c r="X61" s="4"/>
      <c r="Y61" s="24"/>
    </row>
    <row r="62" spans="1:25">
      <c r="A62" s="29" t="s">
        <v>409</v>
      </c>
      <c r="B62" s="4" t="s">
        <v>141</v>
      </c>
      <c r="C62" s="4" t="s">
        <v>7</v>
      </c>
      <c r="D62" s="4" t="s">
        <v>145</v>
      </c>
      <c r="E62" s="4" t="s">
        <v>416</v>
      </c>
      <c r="F62" s="4" t="s">
        <v>417</v>
      </c>
      <c r="G62" s="4" t="s">
        <v>9</v>
      </c>
      <c r="H62" s="4" t="s">
        <v>160</v>
      </c>
      <c r="I62" s="4" t="s">
        <v>446</v>
      </c>
      <c r="J62" s="4" t="s">
        <v>447</v>
      </c>
      <c r="K62" s="4" t="s">
        <v>1066</v>
      </c>
      <c r="L62" s="4" t="s">
        <v>1076</v>
      </c>
      <c r="M62" s="7">
        <v>1610</v>
      </c>
      <c r="N62" s="7">
        <v>8050</v>
      </c>
      <c r="O62" s="4"/>
      <c r="P62" s="4"/>
      <c r="Q62" s="4" t="s">
        <v>1071</v>
      </c>
      <c r="R62" s="4" t="s">
        <v>6</v>
      </c>
      <c r="S62" s="4" t="s">
        <v>420</v>
      </c>
      <c r="T62" s="4" t="s">
        <v>141</v>
      </c>
      <c r="U62" s="4" t="s">
        <v>409</v>
      </c>
      <c r="V62" s="4"/>
      <c r="W62" s="4"/>
      <c r="X62" s="4"/>
      <c r="Y62" s="24"/>
    </row>
    <row r="63" spans="1:25">
      <c r="A63" s="199" t="s">
        <v>1225</v>
      </c>
      <c r="B63" s="137" t="s">
        <v>141</v>
      </c>
      <c r="C63" s="4" t="s">
        <v>7</v>
      </c>
      <c r="D63" s="4" t="s">
        <v>145</v>
      </c>
      <c r="E63" s="4">
        <v>14.665572467129101</v>
      </c>
      <c r="F63" s="4">
        <v>12.0078307949001</v>
      </c>
      <c r="G63" s="4" t="s">
        <v>18</v>
      </c>
      <c r="H63" s="4" t="s">
        <v>158</v>
      </c>
      <c r="I63" s="4">
        <v>14.6095404806017</v>
      </c>
      <c r="J63" s="4">
        <v>12.735839028901699</v>
      </c>
      <c r="K63" s="4" t="s">
        <v>1066</v>
      </c>
      <c r="L63" s="4" t="s">
        <v>1073</v>
      </c>
      <c r="M63" s="7">
        <v>28</v>
      </c>
      <c r="N63" s="7">
        <v>196</v>
      </c>
      <c r="O63" s="4"/>
      <c r="P63" s="4"/>
      <c r="Q63" s="4" t="s">
        <v>1226</v>
      </c>
      <c r="R63" s="4" t="s">
        <v>402</v>
      </c>
      <c r="S63" s="4" t="s">
        <v>500</v>
      </c>
      <c r="T63" s="4" t="s">
        <v>42</v>
      </c>
      <c r="U63" s="4" t="s">
        <v>501</v>
      </c>
      <c r="V63" s="4"/>
      <c r="W63" s="4"/>
      <c r="X63" s="4" t="s">
        <v>1227</v>
      </c>
      <c r="Y63" s="24"/>
    </row>
    <row r="64" spans="1:25">
      <c r="A64" s="199" t="s">
        <v>1225</v>
      </c>
      <c r="B64" s="137" t="s">
        <v>141</v>
      </c>
      <c r="C64" s="4" t="s">
        <v>7</v>
      </c>
      <c r="D64" s="4" t="s">
        <v>145</v>
      </c>
      <c r="E64" s="4">
        <v>14.665572467129101</v>
      </c>
      <c r="F64" s="4">
        <v>12.0078307949001</v>
      </c>
      <c r="G64" s="4" t="s">
        <v>18</v>
      </c>
      <c r="H64" s="4" t="s">
        <v>158</v>
      </c>
      <c r="I64" s="4">
        <v>14.6095404806017</v>
      </c>
      <c r="J64" s="4">
        <v>12.735839028901699</v>
      </c>
      <c r="K64" s="4" t="s">
        <v>1066</v>
      </c>
      <c r="L64" s="4" t="s">
        <v>1072</v>
      </c>
      <c r="M64" s="7">
        <v>30</v>
      </c>
      <c r="N64" s="7">
        <v>210</v>
      </c>
      <c r="O64" s="4"/>
      <c r="P64" s="4"/>
      <c r="Q64" s="4" t="s">
        <v>1226</v>
      </c>
      <c r="R64" s="4" t="s">
        <v>402</v>
      </c>
      <c r="S64" s="4" t="s">
        <v>500</v>
      </c>
      <c r="T64" s="4" t="s">
        <v>42</v>
      </c>
      <c r="U64" s="4" t="s">
        <v>501</v>
      </c>
      <c r="V64" s="4"/>
      <c r="W64" s="4"/>
      <c r="X64" s="4" t="s">
        <v>1227</v>
      </c>
      <c r="Y64" s="24"/>
    </row>
    <row r="65" spans="1:25">
      <c r="A65" s="29" t="s">
        <v>409</v>
      </c>
      <c r="B65" s="4" t="s">
        <v>141</v>
      </c>
      <c r="C65" s="4" t="s">
        <v>10</v>
      </c>
      <c r="D65" s="4" t="s">
        <v>146</v>
      </c>
      <c r="E65" s="4" t="s">
        <v>448</v>
      </c>
      <c r="F65" s="4" t="s">
        <v>449</v>
      </c>
      <c r="G65" s="4" t="s">
        <v>20</v>
      </c>
      <c r="H65" s="4" t="s">
        <v>171</v>
      </c>
      <c r="I65" s="4" t="s">
        <v>450</v>
      </c>
      <c r="J65" s="4" t="s">
        <v>451</v>
      </c>
      <c r="K65" s="4" t="s">
        <v>1</v>
      </c>
      <c r="L65" s="4" t="s">
        <v>1074</v>
      </c>
      <c r="M65" s="7">
        <v>102</v>
      </c>
      <c r="N65" s="7">
        <v>569</v>
      </c>
      <c r="O65" s="4" t="s">
        <v>1078</v>
      </c>
      <c r="P65" s="4"/>
      <c r="Q65" s="4" t="s">
        <v>1068</v>
      </c>
      <c r="R65" s="4" t="s">
        <v>6</v>
      </c>
      <c r="S65" s="4" t="s">
        <v>420</v>
      </c>
      <c r="T65" s="4" t="s">
        <v>141</v>
      </c>
      <c r="U65" s="4" t="s">
        <v>409</v>
      </c>
      <c r="V65" s="4" t="s">
        <v>146</v>
      </c>
      <c r="W65" s="4" t="s">
        <v>10</v>
      </c>
      <c r="X65" s="4"/>
      <c r="Y65" s="24"/>
    </row>
    <row r="66" spans="1:25">
      <c r="A66" s="29" t="s">
        <v>409</v>
      </c>
      <c r="B66" s="4" t="s">
        <v>141</v>
      </c>
      <c r="C66" s="4" t="s">
        <v>10</v>
      </c>
      <c r="D66" s="4" t="s">
        <v>146</v>
      </c>
      <c r="E66" s="4" t="s">
        <v>448</v>
      </c>
      <c r="F66" s="4" t="s">
        <v>449</v>
      </c>
      <c r="G66" s="4" t="s">
        <v>20</v>
      </c>
      <c r="H66" s="4" t="s">
        <v>171</v>
      </c>
      <c r="I66" s="4" t="s">
        <v>450</v>
      </c>
      <c r="J66" s="4" t="s">
        <v>451</v>
      </c>
      <c r="K66" s="4" t="s">
        <v>1</v>
      </c>
      <c r="L66" s="4" t="s">
        <v>1072</v>
      </c>
      <c r="M66" s="7">
        <v>45</v>
      </c>
      <c r="N66" s="7">
        <v>245</v>
      </c>
      <c r="O66" s="4" t="s">
        <v>1078</v>
      </c>
      <c r="P66" s="4"/>
      <c r="Q66" s="4" t="s">
        <v>1068</v>
      </c>
      <c r="R66" s="4" t="s">
        <v>6</v>
      </c>
      <c r="S66" s="4" t="s">
        <v>420</v>
      </c>
      <c r="T66" s="4" t="s">
        <v>141</v>
      </c>
      <c r="U66" s="4" t="s">
        <v>409</v>
      </c>
      <c r="V66" s="4" t="s">
        <v>146</v>
      </c>
      <c r="W66" s="4" t="s">
        <v>10</v>
      </c>
      <c r="X66" s="4"/>
      <c r="Y66" s="24"/>
    </row>
    <row r="67" spans="1:25">
      <c r="A67" s="29" t="s">
        <v>409</v>
      </c>
      <c r="B67" s="4" t="s">
        <v>141</v>
      </c>
      <c r="C67" s="4" t="s">
        <v>10</v>
      </c>
      <c r="D67" s="4" t="s">
        <v>146</v>
      </c>
      <c r="E67" s="4" t="s">
        <v>448</v>
      </c>
      <c r="F67" s="4" t="s">
        <v>449</v>
      </c>
      <c r="G67" s="4" t="s">
        <v>20</v>
      </c>
      <c r="H67" s="4" t="s">
        <v>171</v>
      </c>
      <c r="I67" s="4" t="s">
        <v>450</v>
      </c>
      <c r="J67" s="4" t="s">
        <v>451</v>
      </c>
      <c r="K67" s="4" t="s">
        <v>1</v>
      </c>
      <c r="L67" s="4" t="s">
        <v>1073</v>
      </c>
      <c r="M67" s="7">
        <v>89</v>
      </c>
      <c r="N67" s="7">
        <v>438</v>
      </c>
      <c r="O67" s="4" t="s">
        <v>1078</v>
      </c>
      <c r="P67" s="4"/>
      <c r="Q67" s="4" t="s">
        <v>1068</v>
      </c>
      <c r="R67" s="4" t="s">
        <v>6</v>
      </c>
      <c r="S67" s="4" t="s">
        <v>420</v>
      </c>
      <c r="T67" s="4" t="s">
        <v>141</v>
      </c>
      <c r="U67" s="4" t="s">
        <v>409</v>
      </c>
      <c r="V67" s="4" t="s">
        <v>146</v>
      </c>
      <c r="W67" s="4" t="s">
        <v>10</v>
      </c>
      <c r="X67" s="4"/>
      <c r="Y67" s="24"/>
    </row>
    <row r="68" spans="1:25">
      <c r="A68" s="29" t="s">
        <v>409</v>
      </c>
      <c r="B68" s="4" t="s">
        <v>141</v>
      </c>
      <c r="C68" s="4" t="s">
        <v>10</v>
      </c>
      <c r="D68" s="4" t="s">
        <v>146</v>
      </c>
      <c r="E68" s="4" t="s">
        <v>448</v>
      </c>
      <c r="F68" s="4" t="s">
        <v>449</v>
      </c>
      <c r="G68" s="4" t="s">
        <v>136</v>
      </c>
      <c r="H68" s="4" t="s">
        <v>169</v>
      </c>
      <c r="I68" s="4" t="s">
        <v>456</v>
      </c>
      <c r="J68" s="4" t="s">
        <v>457</v>
      </c>
      <c r="K68" s="4" t="s">
        <v>1</v>
      </c>
      <c r="L68" s="4" t="s">
        <v>1072</v>
      </c>
      <c r="M68" s="7">
        <v>92</v>
      </c>
      <c r="N68" s="7">
        <v>720</v>
      </c>
      <c r="O68" s="4" t="s">
        <v>1078</v>
      </c>
      <c r="P68" s="4"/>
      <c r="Q68" s="4" t="s">
        <v>1068</v>
      </c>
      <c r="R68" s="4" t="s">
        <v>6</v>
      </c>
      <c r="S68" s="4" t="s">
        <v>420</v>
      </c>
      <c r="T68" s="4" t="s">
        <v>141</v>
      </c>
      <c r="U68" s="4" t="s">
        <v>409</v>
      </c>
      <c r="V68" s="4" t="s">
        <v>146</v>
      </c>
      <c r="W68" s="4" t="s">
        <v>10</v>
      </c>
      <c r="X68" s="4"/>
      <c r="Y68" s="24"/>
    </row>
    <row r="69" spans="1:25">
      <c r="A69" s="29" t="s">
        <v>409</v>
      </c>
      <c r="B69" s="4" t="s">
        <v>141</v>
      </c>
      <c r="C69" s="4" t="s">
        <v>10</v>
      </c>
      <c r="D69" s="4" t="s">
        <v>146</v>
      </c>
      <c r="E69" s="4" t="s">
        <v>448</v>
      </c>
      <c r="F69" s="4" t="s">
        <v>449</v>
      </c>
      <c r="G69" s="4" t="s">
        <v>136</v>
      </c>
      <c r="H69" s="4" t="s">
        <v>169</v>
      </c>
      <c r="I69" s="4" t="s">
        <v>456</v>
      </c>
      <c r="J69" s="4" t="s">
        <v>457</v>
      </c>
      <c r="K69" s="4" t="s">
        <v>1</v>
      </c>
      <c r="L69" s="4" t="s">
        <v>1073</v>
      </c>
      <c r="M69" s="7">
        <v>100</v>
      </c>
      <c r="N69" s="7">
        <v>500</v>
      </c>
      <c r="O69" s="4" t="s">
        <v>1078</v>
      </c>
      <c r="P69" s="4"/>
      <c r="Q69" s="4" t="s">
        <v>1068</v>
      </c>
      <c r="R69" s="4" t="s">
        <v>6</v>
      </c>
      <c r="S69" s="4" t="s">
        <v>420</v>
      </c>
      <c r="T69" s="4" t="s">
        <v>141</v>
      </c>
      <c r="U69" s="4" t="s">
        <v>409</v>
      </c>
      <c r="V69" s="4" t="s">
        <v>146</v>
      </c>
      <c r="W69" s="4" t="s">
        <v>10</v>
      </c>
      <c r="X69" s="4"/>
      <c r="Y69" s="24"/>
    </row>
    <row r="70" spans="1:25">
      <c r="A70" s="29" t="s">
        <v>409</v>
      </c>
      <c r="B70" s="4" t="s">
        <v>141</v>
      </c>
      <c r="C70" s="4" t="s">
        <v>10</v>
      </c>
      <c r="D70" s="4" t="s">
        <v>146</v>
      </c>
      <c r="E70" s="4" t="s">
        <v>448</v>
      </c>
      <c r="F70" s="4" t="s">
        <v>449</v>
      </c>
      <c r="G70" s="4" t="s">
        <v>136</v>
      </c>
      <c r="H70" s="4" t="s">
        <v>169</v>
      </c>
      <c r="I70" s="4" t="s">
        <v>456</v>
      </c>
      <c r="J70" s="4" t="s">
        <v>457</v>
      </c>
      <c r="K70" s="4" t="s">
        <v>1</v>
      </c>
      <c r="L70" s="4" t="s">
        <v>1074</v>
      </c>
      <c r="M70" s="7">
        <v>45</v>
      </c>
      <c r="N70" s="7">
        <v>225</v>
      </c>
      <c r="O70" s="4" t="s">
        <v>1078</v>
      </c>
      <c r="P70" s="4"/>
      <c r="Q70" s="4" t="s">
        <v>1068</v>
      </c>
      <c r="R70" s="4" t="s">
        <v>6</v>
      </c>
      <c r="S70" s="4" t="s">
        <v>420</v>
      </c>
      <c r="T70" s="4" t="s">
        <v>141</v>
      </c>
      <c r="U70" s="4" t="s">
        <v>409</v>
      </c>
      <c r="V70" s="4" t="s">
        <v>146</v>
      </c>
      <c r="W70" s="4" t="s">
        <v>10</v>
      </c>
      <c r="X70" s="4"/>
      <c r="Y70" s="24"/>
    </row>
    <row r="71" spans="1:25">
      <c r="A71" s="29" t="s">
        <v>409</v>
      </c>
      <c r="B71" s="4" t="s">
        <v>141</v>
      </c>
      <c r="C71" s="4" t="s">
        <v>10</v>
      </c>
      <c r="D71" s="4" t="s">
        <v>146</v>
      </c>
      <c r="E71" s="4" t="s">
        <v>448</v>
      </c>
      <c r="F71" s="4" t="s">
        <v>449</v>
      </c>
      <c r="G71" s="4" t="s">
        <v>136</v>
      </c>
      <c r="H71" s="4" t="s">
        <v>169</v>
      </c>
      <c r="I71" s="4" t="s">
        <v>456</v>
      </c>
      <c r="J71" s="4" t="s">
        <v>457</v>
      </c>
      <c r="K71" s="4" t="s">
        <v>1</v>
      </c>
      <c r="L71" s="4" t="s">
        <v>1077</v>
      </c>
      <c r="M71" s="7">
        <v>2</v>
      </c>
      <c r="N71" s="7">
        <v>10</v>
      </c>
      <c r="O71" s="4" t="s">
        <v>1099</v>
      </c>
      <c r="P71" s="4"/>
      <c r="Q71" s="4" t="s">
        <v>1067</v>
      </c>
      <c r="R71" s="4" t="s">
        <v>6</v>
      </c>
      <c r="S71" s="4" t="s">
        <v>420</v>
      </c>
      <c r="T71" s="4" t="s">
        <v>141</v>
      </c>
      <c r="U71" s="4" t="s">
        <v>409</v>
      </c>
      <c r="V71" s="4" t="s">
        <v>148</v>
      </c>
      <c r="W71" s="4" t="s">
        <v>27</v>
      </c>
      <c r="X71" s="4"/>
      <c r="Y71" s="24"/>
    </row>
    <row r="72" spans="1:25">
      <c r="A72" s="29" t="s">
        <v>409</v>
      </c>
      <c r="B72" s="4" t="s">
        <v>141</v>
      </c>
      <c r="C72" s="4" t="s">
        <v>10</v>
      </c>
      <c r="D72" s="4" t="s">
        <v>146</v>
      </c>
      <c r="E72" s="4" t="s">
        <v>448</v>
      </c>
      <c r="F72" s="4" t="s">
        <v>449</v>
      </c>
      <c r="G72" s="4" t="s">
        <v>137</v>
      </c>
      <c r="H72" s="4" t="s">
        <v>170</v>
      </c>
      <c r="I72" s="4" t="s">
        <v>460</v>
      </c>
      <c r="J72" s="4" t="s">
        <v>461</v>
      </c>
      <c r="K72" s="4" t="s">
        <v>1</v>
      </c>
      <c r="L72" s="4" t="s">
        <v>1074</v>
      </c>
      <c r="M72" s="7">
        <v>359</v>
      </c>
      <c r="N72" s="7">
        <v>1795</v>
      </c>
      <c r="O72" s="4" t="s">
        <v>1078</v>
      </c>
      <c r="P72" s="4"/>
      <c r="Q72" s="4" t="s">
        <v>1068</v>
      </c>
      <c r="R72" s="4" t="s">
        <v>6</v>
      </c>
      <c r="S72" s="4" t="s">
        <v>420</v>
      </c>
      <c r="T72" s="4" t="s">
        <v>141</v>
      </c>
      <c r="U72" s="4" t="s">
        <v>409</v>
      </c>
      <c r="V72" s="4" t="s">
        <v>146</v>
      </c>
      <c r="W72" s="4" t="s">
        <v>10</v>
      </c>
      <c r="X72" s="4"/>
      <c r="Y72" s="24"/>
    </row>
    <row r="73" spans="1:25">
      <c r="A73" s="29" t="s">
        <v>409</v>
      </c>
      <c r="B73" s="4" t="s">
        <v>141</v>
      </c>
      <c r="C73" s="4" t="s">
        <v>10</v>
      </c>
      <c r="D73" s="4" t="s">
        <v>146</v>
      </c>
      <c r="E73" s="4" t="s">
        <v>448</v>
      </c>
      <c r="F73" s="4" t="s">
        <v>449</v>
      </c>
      <c r="G73" s="4" t="s">
        <v>31</v>
      </c>
      <c r="H73" s="4" t="s">
        <v>167</v>
      </c>
      <c r="I73" s="4" t="s">
        <v>452</v>
      </c>
      <c r="J73" s="4" t="s">
        <v>453</v>
      </c>
      <c r="K73" s="4" t="s">
        <v>1</v>
      </c>
      <c r="L73" s="4" t="s">
        <v>1076</v>
      </c>
      <c r="M73" s="7">
        <v>16</v>
      </c>
      <c r="N73" s="7">
        <v>95</v>
      </c>
      <c r="O73" s="4" t="s">
        <v>1078</v>
      </c>
      <c r="P73" s="4"/>
      <c r="Q73" s="4" t="s">
        <v>1068</v>
      </c>
      <c r="R73" s="4" t="s">
        <v>6</v>
      </c>
      <c r="S73" s="4" t="s">
        <v>420</v>
      </c>
      <c r="T73" s="4" t="s">
        <v>141</v>
      </c>
      <c r="U73" s="4" t="s">
        <v>409</v>
      </c>
      <c r="V73" s="4" t="s">
        <v>146</v>
      </c>
      <c r="W73" s="4" t="s">
        <v>10</v>
      </c>
      <c r="X73" s="4"/>
      <c r="Y73" s="24"/>
    </row>
    <row r="74" spans="1:25">
      <c r="A74" s="29" t="s">
        <v>409</v>
      </c>
      <c r="B74" s="4" t="s">
        <v>141</v>
      </c>
      <c r="C74" s="4" t="s">
        <v>10</v>
      </c>
      <c r="D74" s="4" t="s">
        <v>146</v>
      </c>
      <c r="E74" s="4" t="s">
        <v>448</v>
      </c>
      <c r="F74" s="4" t="s">
        <v>449</v>
      </c>
      <c r="G74" s="4" t="s">
        <v>31</v>
      </c>
      <c r="H74" s="4" t="s">
        <v>167</v>
      </c>
      <c r="I74" s="4" t="s">
        <v>452</v>
      </c>
      <c r="J74" s="4" t="s">
        <v>453</v>
      </c>
      <c r="K74" s="4" t="s">
        <v>1</v>
      </c>
      <c r="L74" s="4" t="s">
        <v>1072</v>
      </c>
      <c r="M74" s="7">
        <v>51</v>
      </c>
      <c r="N74" s="7">
        <v>275</v>
      </c>
      <c r="O74" s="4" t="s">
        <v>1078</v>
      </c>
      <c r="P74" s="4"/>
      <c r="Q74" s="4" t="s">
        <v>1068</v>
      </c>
      <c r="R74" s="4" t="s">
        <v>6</v>
      </c>
      <c r="S74" s="4" t="s">
        <v>420</v>
      </c>
      <c r="T74" s="4" t="s">
        <v>141</v>
      </c>
      <c r="U74" s="4" t="s">
        <v>409</v>
      </c>
      <c r="V74" s="4" t="s">
        <v>146</v>
      </c>
      <c r="W74" s="4" t="s">
        <v>10</v>
      </c>
      <c r="X74" s="4"/>
      <c r="Y74" s="24"/>
    </row>
    <row r="75" spans="1:25">
      <c r="A75" s="29" t="s">
        <v>409</v>
      </c>
      <c r="B75" s="4" t="s">
        <v>141</v>
      </c>
      <c r="C75" s="4" t="s">
        <v>10</v>
      </c>
      <c r="D75" s="4" t="s">
        <v>146</v>
      </c>
      <c r="E75" s="4" t="s">
        <v>448</v>
      </c>
      <c r="F75" s="4" t="s">
        <v>449</v>
      </c>
      <c r="G75" s="4" t="s">
        <v>31</v>
      </c>
      <c r="H75" s="4" t="s">
        <v>167</v>
      </c>
      <c r="I75" s="4" t="s">
        <v>452</v>
      </c>
      <c r="J75" s="4" t="s">
        <v>453</v>
      </c>
      <c r="K75" s="4" t="s">
        <v>1</v>
      </c>
      <c r="L75" s="4" t="s">
        <v>1073</v>
      </c>
      <c r="M75" s="7">
        <v>345</v>
      </c>
      <c r="N75" s="7">
        <v>2321</v>
      </c>
      <c r="O75" s="4" t="s">
        <v>1078</v>
      </c>
      <c r="P75" s="4"/>
      <c r="Q75" s="4" t="s">
        <v>1068</v>
      </c>
      <c r="R75" s="4" t="s">
        <v>6</v>
      </c>
      <c r="S75" s="4" t="s">
        <v>420</v>
      </c>
      <c r="T75" s="4" t="s">
        <v>141</v>
      </c>
      <c r="U75" s="4" t="s">
        <v>409</v>
      </c>
      <c r="V75" s="4" t="s">
        <v>146</v>
      </c>
      <c r="W75" s="4" t="s">
        <v>10</v>
      </c>
      <c r="X75" s="4"/>
      <c r="Y75" s="24"/>
    </row>
    <row r="76" spans="1:25">
      <c r="A76" s="29" t="s">
        <v>409</v>
      </c>
      <c r="B76" s="4" t="s">
        <v>141</v>
      </c>
      <c r="C76" s="4" t="s">
        <v>10</v>
      </c>
      <c r="D76" s="4" t="s">
        <v>146</v>
      </c>
      <c r="E76" s="4" t="s">
        <v>448</v>
      </c>
      <c r="F76" s="4" t="s">
        <v>449</v>
      </c>
      <c r="G76" s="4" t="s">
        <v>31</v>
      </c>
      <c r="H76" s="4" t="s">
        <v>167</v>
      </c>
      <c r="I76" s="4" t="s">
        <v>452</v>
      </c>
      <c r="J76" s="4" t="s">
        <v>453</v>
      </c>
      <c r="K76" s="4" t="s">
        <v>1</v>
      </c>
      <c r="L76" s="4" t="s">
        <v>1074</v>
      </c>
      <c r="M76" s="7">
        <v>1074</v>
      </c>
      <c r="N76" s="7">
        <v>8922</v>
      </c>
      <c r="O76" s="4" t="s">
        <v>1078</v>
      </c>
      <c r="P76" s="4"/>
      <c r="Q76" s="4" t="s">
        <v>1068</v>
      </c>
      <c r="R76" s="4" t="s">
        <v>6</v>
      </c>
      <c r="S76" s="4" t="s">
        <v>420</v>
      </c>
      <c r="T76" s="4" t="s">
        <v>141</v>
      </c>
      <c r="U76" s="4" t="s">
        <v>409</v>
      </c>
      <c r="V76" s="4" t="s">
        <v>146</v>
      </c>
      <c r="W76" s="4" t="s">
        <v>10</v>
      </c>
      <c r="X76" s="4"/>
      <c r="Y76" s="24"/>
    </row>
    <row r="77" spans="1:25">
      <c r="A77" s="29" t="s">
        <v>409</v>
      </c>
      <c r="B77" s="4" t="s">
        <v>141</v>
      </c>
      <c r="C77" s="4" t="s">
        <v>10</v>
      </c>
      <c r="D77" s="4" t="s">
        <v>146</v>
      </c>
      <c r="E77" s="4" t="s">
        <v>448</v>
      </c>
      <c r="F77" s="4" t="s">
        <v>449</v>
      </c>
      <c r="G77" s="4" t="s">
        <v>17</v>
      </c>
      <c r="H77" s="4" t="s">
        <v>168</v>
      </c>
      <c r="I77" s="4" t="s">
        <v>454</v>
      </c>
      <c r="J77" s="4" t="s">
        <v>455</v>
      </c>
      <c r="K77" s="4" t="s">
        <v>1</v>
      </c>
      <c r="L77" s="4" t="s">
        <v>1074</v>
      </c>
      <c r="M77" s="7">
        <v>473</v>
      </c>
      <c r="N77" s="7">
        <v>2522</v>
      </c>
      <c r="O77" s="4" t="s">
        <v>1078</v>
      </c>
      <c r="P77" s="4"/>
      <c r="Q77" s="4" t="s">
        <v>1068</v>
      </c>
      <c r="R77" s="4" t="s">
        <v>6</v>
      </c>
      <c r="S77" s="4" t="s">
        <v>420</v>
      </c>
      <c r="T77" s="4" t="s">
        <v>141</v>
      </c>
      <c r="U77" s="4" t="s">
        <v>409</v>
      </c>
      <c r="V77" s="4" t="s">
        <v>146</v>
      </c>
      <c r="W77" s="4" t="s">
        <v>10</v>
      </c>
      <c r="X77" s="4"/>
      <c r="Y77" s="24"/>
    </row>
    <row r="78" spans="1:25">
      <c r="A78" s="29" t="s">
        <v>409</v>
      </c>
      <c r="B78" s="4" t="s">
        <v>141</v>
      </c>
      <c r="C78" s="4" t="s">
        <v>10</v>
      </c>
      <c r="D78" s="4" t="s">
        <v>146</v>
      </c>
      <c r="E78" s="4" t="s">
        <v>448</v>
      </c>
      <c r="F78" s="4" t="s">
        <v>449</v>
      </c>
      <c r="G78" s="4" t="s">
        <v>17</v>
      </c>
      <c r="H78" s="4" t="s">
        <v>168</v>
      </c>
      <c r="I78" s="4" t="s">
        <v>454</v>
      </c>
      <c r="J78" s="4" t="s">
        <v>455</v>
      </c>
      <c r="K78" s="4" t="s">
        <v>1</v>
      </c>
      <c r="L78" s="4" t="s">
        <v>1073</v>
      </c>
      <c r="M78" s="7">
        <v>41</v>
      </c>
      <c r="N78" s="7">
        <v>375</v>
      </c>
      <c r="O78" s="4" t="s">
        <v>1099</v>
      </c>
      <c r="P78" s="4"/>
      <c r="Q78" s="4" t="s">
        <v>1067</v>
      </c>
      <c r="R78" s="4" t="s">
        <v>6</v>
      </c>
      <c r="S78" s="4" t="s">
        <v>420</v>
      </c>
      <c r="T78" s="4" t="s">
        <v>141</v>
      </c>
      <c r="U78" s="4" t="s">
        <v>409</v>
      </c>
      <c r="V78" s="4" t="s">
        <v>148</v>
      </c>
      <c r="W78" s="4" t="s">
        <v>27</v>
      </c>
      <c r="X78" s="4"/>
      <c r="Y78" s="24"/>
    </row>
    <row r="79" spans="1:25">
      <c r="A79" s="29" t="s">
        <v>409</v>
      </c>
      <c r="B79" s="4" t="s">
        <v>141</v>
      </c>
      <c r="C79" s="4" t="s">
        <v>10</v>
      </c>
      <c r="D79" s="4" t="s">
        <v>146</v>
      </c>
      <c r="E79" s="4" t="s">
        <v>448</v>
      </c>
      <c r="F79" s="4" t="s">
        <v>449</v>
      </c>
      <c r="G79" s="4" t="s">
        <v>17</v>
      </c>
      <c r="H79" s="4" t="s">
        <v>168</v>
      </c>
      <c r="I79" s="4" t="s">
        <v>454</v>
      </c>
      <c r="J79" s="4" t="s">
        <v>455</v>
      </c>
      <c r="K79" s="4" t="s">
        <v>1</v>
      </c>
      <c r="L79" s="4" t="s">
        <v>1076</v>
      </c>
      <c r="M79" s="7">
        <v>9</v>
      </c>
      <c r="N79" s="7">
        <v>63</v>
      </c>
      <c r="O79" s="4" t="s">
        <v>1078</v>
      </c>
      <c r="P79" s="4"/>
      <c r="Q79" s="4" t="s">
        <v>1068</v>
      </c>
      <c r="R79" s="4" t="s">
        <v>6</v>
      </c>
      <c r="S79" s="4" t="s">
        <v>420</v>
      </c>
      <c r="T79" s="4" t="s">
        <v>141</v>
      </c>
      <c r="U79" s="4" t="s">
        <v>409</v>
      </c>
      <c r="V79" s="4" t="s">
        <v>146</v>
      </c>
      <c r="W79" s="4" t="s">
        <v>10</v>
      </c>
      <c r="X79" s="4"/>
      <c r="Y79" s="24"/>
    </row>
    <row r="80" spans="1:25">
      <c r="A80" s="29" t="s">
        <v>409</v>
      </c>
      <c r="B80" s="4" t="s">
        <v>141</v>
      </c>
      <c r="C80" s="4" t="s">
        <v>10</v>
      </c>
      <c r="D80" s="4" t="s">
        <v>146</v>
      </c>
      <c r="E80" s="4" t="s">
        <v>448</v>
      </c>
      <c r="F80" s="4" t="s">
        <v>449</v>
      </c>
      <c r="G80" s="4" t="s">
        <v>29</v>
      </c>
      <c r="H80" s="4" t="s">
        <v>172</v>
      </c>
      <c r="I80" s="4" t="s">
        <v>458</v>
      </c>
      <c r="J80" s="4" t="s">
        <v>459</v>
      </c>
      <c r="K80" s="4" t="s">
        <v>1</v>
      </c>
      <c r="L80" s="4" t="s">
        <v>1074</v>
      </c>
      <c r="M80" s="7">
        <v>67</v>
      </c>
      <c r="N80" s="7">
        <v>359</v>
      </c>
      <c r="O80" s="4" t="s">
        <v>1078</v>
      </c>
      <c r="P80" s="4"/>
      <c r="Q80" s="4" t="s">
        <v>1068</v>
      </c>
      <c r="R80" s="4" t="s">
        <v>6</v>
      </c>
      <c r="S80" s="4" t="s">
        <v>420</v>
      </c>
      <c r="T80" s="4" t="s">
        <v>141</v>
      </c>
      <c r="U80" s="4" t="s">
        <v>409</v>
      </c>
      <c r="V80" s="4" t="s">
        <v>146</v>
      </c>
      <c r="W80" s="4" t="s">
        <v>10</v>
      </c>
      <c r="X80" s="4"/>
      <c r="Y80" s="24"/>
    </row>
    <row r="81" spans="1:25">
      <c r="A81" s="29" t="s">
        <v>409</v>
      </c>
      <c r="B81" s="4" t="s">
        <v>141</v>
      </c>
      <c r="C81" s="4" t="s">
        <v>10</v>
      </c>
      <c r="D81" s="4" t="s">
        <v>146</v>
      </c>
      <c r="E81" s="4" t="s">
        <v>448</v>
      </c>
      <c r="F81" s="4" t="s">
        <v>449</v>
      </c>
      <c r="G81" s="4" t="s">
        <v>20</v>
      </c>
      <c r="H81" s="4" t="s">
        <v>171</v>
      </c>
      <c r="I81" s="4" t="s">
        <v>450</v>
      </c>
      <c r="J81" s="4" t="s">
        <v>451</v>
      </c>
      <c r="K81" s="4" t="s">
        <v>1065</v>
      </c>
      <c r="L81" s="4" t="s">
        <v>1072</v>
      </c>
      <c r="M81" s="7">
        <v>23</v>
      </c>
      <c r="N81" s="7">
        <v>125</v>
      </c>
      <c r="O81" s="4" t="s">
        <v>1099</v>
      </c>
      <c r="P81" s="4"/>
      <c r="Q81" s="4" t="s">
        <v>1070</v>
      </c>
      <c r="R81" s="4" t="s">
        <v>402</v>
      </c>
      <c r="S81" s="4" t="s">
        <v>500</v>
      </c>
      <c r="T81" s="4" t="s">
        <v>42</v>
      </c>
      <c r="U81" s="4" t="s">
        <v>501</v>
      </c>
      <c r="V81" s="4"/>
      <c r="W81" s="4"/>
      <c r="X81" s="4"/>
      <c r="Y81" s="24"/>
    </row>
    <row r="82" spans="1:25">
      <c r="A82" s="29" t="s">
        <v>409</v>
      </c>
      <c r="B82" s="4" t="s">
        <v>141</v>
      </c>
      <c r="C82" s="4" t="s">
        <v>10</v>
      </c>
      <c r="D82" s="4" t="s">
        <v>146</v>
      </c>
      <c r="E82" s="4" t="s">
        <v>448</v>
      </c>
      <c r="F82" s="4" t="s">
        <v>449</v>
      </c>
      <c r="G82" s="4" t="s">
        <v>20</v>
      </c>
      <c r="H82" s="4" t="s">
        <v>171</v>
      </c>
      <c r="I82" s="4" t="s">
        <v>450</v>
      </c>
      <c r="J82" s="4" t="s">
        <v>451</v>
      </c>
      <c r="K82" s="4" t="s">
        <v>1065</v>
      </c>
      <c r="L82" s="4" t="s">
        <v>1073</v>
      </c>
      <c r="M82" s="7">
        <v>22</v>
      </c>
      <c r="N82" s="7">
        <v>110</v>
      </c>
      <c r="O82" s="4" t="s">
        <v>1099</v>
      </c>
      <c r="P82" s="4"/>
      <c r="Q82" s="4" t="s">
        <v>1070</v>
      </c>
      <c r="R82" s="4" t="s">
        <v>402</v>
      </c>
      <c r="S82" s="4" t="s">
        <v>500</v>
      </c>
      <c r="T82" s="4" t="s">
        <v>42</v>
      </c>
      <c r="U82" s="4" t="s">
        <v>501</v>
      </c>
      <c r="V82" s="4"/>
      <c r="W82" s="4"/>
      <c r="X82" s="4"/>
      <c r="Y82" s="24"/>
    </row>
    <row r="83" spans="1:25">
      <c r="A83" s="29" t="s">
        <v>409</v>
      </c>
      <c r="B83" s="4" t="s">
        <v>141</v>
      </c>
      <c r="C83" s="4" t="s">
        <v>10</v>
      </c>
      <c r="D83" s="4" t="s">
        <v>146</v>
      </c>
      <c r="E83" s="4" t="s">
        <v>448</v>
      </c>
      <c r="F83" s="4" t="s">
        <v>449</v>
      </c>
      <c r="G83" s="4" t="s">
        <v>17</v>
      </c>
      <c r="H83" s="4" t="s">
        <v>168</v>
      </c>
      <c r="I83" s="4" t="s">
        <v>454</v>
      </c>
      <c r="J83" s="4" t="s">
        <v>455</v>
      </c>
      <c r="K83" s="4" t="s">
        <v>1065</v>
      </c>
      <c r="L83" s="4" t="s">
        <v>1073</v>
      </c>
      <c r="M83" s="7">
        <v>121</v>
      </c>
      <c r="N83" s="7">
        <v>605</v>
      </c>
      <c r="O83" s="4" t="s">
        <v>1099</v>
      </c>
      <c r="P83" s="4"/>
      <c r="Q83" s="4" t="s">
        <v>1070</v>
      </c>
      <c r="R83" s="4" t="s">
        <v>402</v>
      </c>
      <c r="S83" s="4" t="s">
        <v>500</v>
      </c>
      <c r="T83" s="4" t="s">
        <v>42</v>
      </c>
      <c r="U83" s="4" t="s">
        <v>501</v>
      </c>
      <c r="V83" s="4"/>
      <c r="W83" s="4"/>
      <c r="X83" s="4"/>
      <c r="Y83" s="24"/>
    </row>
    <row r="84" spans="1:25">
      <c r="A84" s="29" t="s">
        <v>409</v>
      </c>
      <c r="B84" s="4" t="s">
        <v>141</v>
      </c>
      <c r="C84" s="4" t="s">
        <v>10</v>
      </c>
      <c r="D84" s="4" t="s">
        <v>146</v>
      </c>
      <c r="E84" s="4" t="s">
        <v>448</v>
      </c>
      <c r="F84" s="4" t="s">
        <v>449</v>
      </c>
      <c r="G84" s="4" t="s">
        <v>29</v>
      </c>
      <c r="H84" s="4" t="s">
        <v>172</v>
      </c>
      <c r="I84" s="4" t="s">
        <v>458</v>
      </c>
      <c r="J84" s="4" t="s">
        <v>459</v>
      </c>
      <c r="K84" s="4" t="s">
        <v>1065</v>
      </c>
      <c r="L84" s="4" t="s">
        <v>1073</v>
      </c>
      <c r="M84" s="7">
        <v>1</v>
      </c>
      <c r="N84" s="7">
        <v>4</v>
      </c>
      <c r="O84" s="4" t="s">
        <v>1096</v>
      </c>
      <c r="P84" s="4" t="s">
        <v>1185</v>
      </c>
      <c r="Q84" s="4" t="s">
        <v>1070</v>
      </c>
      <c r="R84" s="4" t="s">
        <v>403</v>
      </c>
      <c r="S84" s="4" t="s">
        <v>502</v>
      </c>
      <c r="T84" s="4" t="s">
        <v>503</v>
      </c>
      <c r="U84" s="4" t="s">
        <v>504</v>
      </c>
      <c r="V84" s="4"/>
      <c r="W84" s="4"/>
      <c r="X84" s="4"/>
      <c r="Y84" s="24"/>
    </row>
    <row r="85" spans="1:25">
      <c r="A85" s="29" t="s">
        <v>409</v>
      </c>
      <c r="B85" s="4" t="s">
        <v>141</v>
      </c>
      <c r="C85" s="4" t="s">
        <v>10</v>
      </c>
      <c r="D85" s="4" t="s">
        <v>146</v>
      </c>
      <c r="E85" s="4" t="s">
        <v>448</v>
      </c>
      <c r="F85" s="4" t="s">
        <v>449</v>
      </c>
      <c r="G85" s="4" t="s">
        <v>20</v>
      </c>
      <c r="H85" s="4" t="s">
        <v>171</v>
      </c>
      <c r="I85" s="4" t="s">
        <v>450</v>
      </c>
      <c r="J85" s="4" t="s">
        <v>451</v>
      </c>
      <c r="K85" s="4" t="s">
        <v>1066</v>
      </c>
      <c r="L85" s="4" t="s">
        <v>1073</v>
      </c>
      <c r="M85" s="7">
        <v>48</v>
      </c>
      <c r="N85" s="7">
        <v>325</v>
      </c>
      <c r="O85" s="4"/>
      <c r="P85" s="4"/>
      <c r="Q85" s="4" t="s">
        <v>1070</v>
      </c>
      <c r="R85" s="4" t="s">
        <v>402</v>
      </c>
      <c r="S85" s="4" t="s">
        <v>500</v>
      </c>
      <c r="T85" s="4" t="s">
        <v>42</v>
      </c>
      <c r="U85" s="4" t="s">
        <v>501</v>
      </c>
      <c r="V85" s="4"/>
      <c r="W85" s="4"/>
      <c r="X85" s="4"/>
      <c r="Y85" s="24"/>
    </row>
    <row r="86" spans="1:25">
      <c r="A86" s="29" t="s">
        <v>409</v>
      </c>
      <c r="B86" s="4" t="s">
        <v>141</v>
      </c>
      <c r="C86" s="4" t="s">
        <v>10</v>
      </c>
      <c r="D86" s="4" t="s">
        <v>146</v>
      </c>
      <c r="E86" s="4" t="s">
        <v>448</v>
      </c>
      <c r="F86" s="4" t="s">
        <v>449</v>
      </c>
      <c r="G86" s="4" t="s">
        <v>20</v>
      </c>
      <c r="H86" s="4" t="s">
        <v>171</v>
      </c>
      <c r="I86" s="4" t="s">
        <v>450</v>
      </c>
      <c r="J86" s="4" t="s">
        <v>451</v>
      </c>
      <c r="K86" s="4" t="s">
        <v>1066</v>
      </c>
      <c r="L86" s="4" t="s">
        <v>1077</v>
      </c>
      <c r="M86" s="7">
        <v>10</v>
      </c>
      <c r="N86" s="7">
        <v>130</v>
      </c>
      <c r="O86" s="4"/>
      <c r="P86" s="4"/>
      <c r="Q86" s="4" t="s">
        <v>1071</v>
      </c>
      <c r="R86" s="4" t="s">
        <v>6</v>
      </c>
      <c r="S86" s="4" t="s">
        <v>420</v>
      </c>
      <c r="T86" s="4" t="s">
        <v>142</v>
      </c>
      <c r="U86" s="4" t="s">
        <v>510</v>
      </c>
      <c r="V86" s="4"/>
      <c r="W86" s="4"/>
      <c r="X86" s="4"/>
      <c r="Y86" s="24"/>
    </row>
    <row r="87" spans="1:25">
      <c r="A87" s="29" t="s">
        <v>409</v>
      </c>
      <c r="B87" s="4" t="s">
        <v>141</v>
      </c>
      <c r="C87" s="4" t="s">
        <v>10</v>
      </c>
      <c r="D87" s="4" t="s">
        <v>146</v>
      </c>
      <c r="E87" s="4" t="s">
        <v>448</v>
      </c>
      <c r="F87" s="4" t="s">
        <v>449</v>
      </c>
      <c r="G87" s="4" t="s">
        <v>20</v>
      </c>
      <c r="H87" s="4" t="s">
        <v>171</v>
      </c>
      <c r="I87" s="4" t="s">
        <v>450</v>
      </c>
      <c r="J87" s="4" t="s">
        <v>451</v>
      </c>
      <c r="K87" s="4" t="s">
        <v>1066</v>
      </c>
      <c r="L87" s="4" t="s">
        <v>1075</v>
      </c>
      <c r="M87" s="7">
        <v>16</v>
      </c>
      <c r="N87" s="7">
        <v>164</v>
      </c>
      <c r="O87" s="4"/>
      <c r="P87" s="4"/>
      <c r="Q87" s="4" t="s">
        <v>1070</v>
      </c>
      <c r="R87" s="4" t="s">
        <v>402</v>
      </c>
      <c r="S87" s="4" t="s">
        <v>500</v>
      </c>
      <c r="T87" s="4" t="s">
        <v>42</v>
      </c>
      <c r="U87" s="4" t="s">
        <v>501</v>
      </c>
      <c r="V87" s="4"/>
      <c r="W87" s="4"/>
      <c r="X87" s="4"/>
      <c r="Y87" s="24"/>
    </row>
    <row r="88" spans="1:25">
      <c r="A88" s="29" t="s">
        <v>409</v>
      </c>
      <c r="B88" s="4" t="s">
        <v>141</v>
      </c>
      <c r="C88" s="4" t="s">
        <v>10</v>
      </c>
      <c r="D88" s="4" t="s">
        <v>146</v>
      </c>
      <c r="E88" s="4" t="s">
        <v>448</v>
      </c>
      <c r="F88" s="4" t="s">
        <v>449</v>
      </c>
      <c r="G88" s="4" t="s">
        <v>20</v>
      </c>
      <c r="H88" s="4" t="s">
        <v>171</v>
      </c>
      <c r="I88" s="4" t="s">
        <v>450</v>
      </c>
      <c r="J88" s="4" t="s">
        <v>451</v>
      </c>
      <c r="K88" s="4" t="s">
        <v>1066</v>
      </c>
      <c r="L88" s="4" t="s">
        <v>1072</v>
      </c>
      <c r="M88" s="7">
        <v>23</v>
      </c>
      <c r="N88" s="7">
        <v>156</v>
      </c>
      <c r="O88" s="4"/>
      <c r="P88" s="4"/>
      <c r="Q88" s="4" t="s">
        <v>1071</v>
      </c>
      <c r="R88" s="4" t="s">
        <v>6</v>
      </c>
      <c r="S88" s="4" t="s">
        <v>420</v>
      </c>
      <c r="T88" s="4" t="s">
        <v>142</v>
      </c>
      <c r="U88" s="4"/>
      <c r="V88" s="4"/>
      <c r="W88" s="4"/>
      <c r="X88" s="4"/>
      <c r="Y88" s="24"/>
    </row>
    <row r="89" spans="1:25">
      <c r="A89" s="29" t="s">
        <v>409</v>
      </c>
      <c r="B89" s="4" t="s">
        <v>141</v>
      </c>
      <c r="C89" s="4" t="s">
        <v>10</v>
      </c>
      <c r="D89" s="4" t="s">
        <v>146</v>
      </c>
      <c r="E89" s="4" t="s">
        <v>448</v>
      </c>
      <c r="F89" s="4" t="s">
        <v>449</v>
      </c>
      <c r="G89" s="4" t="s">
        <v>136</v>
      </c>
      <c r="H89" s="4" t="s">
        <v>169</v>
      </c>
      <c r="I89" s="4" t="s">
        <v>456</v>
      </c>
      <c r="J89" s="4" t="s">
        <v>457</v>
      </c>
      <c r="K89" s="4" t="s">
        <v>1066</v>
      </c>
      <c r="L89" s="4" t="s">
        <v>1077</v>
      </c>
      <c r="M89" s="7">
        <v>2</v>
      </c>
      <c r="N89" s="7">
        <v>10</v>
      </c>
      <c r="O89" s="4"/>
      <c r="P89" s="4"/>
      <c r="Q89" s="4" t="s">
        <v>1071</v>
      </c>
      <c r="R89" s="4" t="s">
        <v>6</v>
      </c>
      <c r="S89" s="4" t="s">
        <v>420</v>
      </c>
      <c r="T89" s="4" t="s">
        <v>141</v>
      </c>
      <c r="U89" s="4" t="s">
        <v>409</v>
      </c>
      <c r="V89" s="4"/>
      <c r="W89" s="4"/>
      <c r="X89" s="4"/>
      <c r="Y89" s="24"/>
    </row>
    <row r="90" spans="1:25">
      <c r="A90" s="29" t="s">
        <v>409</v>
      </c>
      <c r="B90" s="4" t="s">
        <v>141</v>
      </c>
      <c r="C90" s="4" t="s">
        <v>10</v>
      </c>
      <c r="D90" s="4" t="s">
        <v>146</v>
      </c>
      <c r="E90" s="4" t="s">
        <v>448</v>
      </c>
      <c r="F90" s="4" t="s">
        <v>449</v>
      </c>
      <c r="G90" s="4" t="s">
        <v>31</v>
      </c>
      <c r="H90" s="4" t="s">
        <v>167</v>
      </c>
      <c r="I90" s="4" t="s">
        <v>452</v>
      </c>
      <c r="J90" s="4" t="s">
        <v>453</v>
      </c>
      <c r="K90" s="4" t="s">
        <v>1066</v>
      </c>
      <c r="L90" s="4" t="s">
        <v>1073</v>
      </c>
      <c r="M90" s="7">
        <v>404</v>
      </c>
      <c r="N90" s="7">
        <v>2020</v>
      </c>
      <c r="O90" s="4"/>
      <c r="P90" s="4"/>
      <c r="Q90" s="4" t="s">
        <v>1071</v>
      </c>
      <c r="R90" s="4" t="s">
        <v>6</v>
      </c>
      <c r="S90" s="4" t="s">
        <v>420</v>
      </c>
      <c r="T90" s="4" t="s">
        <v>141</v>
      </c>
      <c r="U90" s="4" t="s">
        <v>409</v>
      </c>
      <c r="V90" s="4"/>
      <c r="W90" s="4"/>
      <c r="X90" s="4"/>
      <c r="Y90" s="24"/>
    </row>
    <row r="91" spans="1:25">
      <c r="A91" s="29" t="s">
        <v>409</v>
      </c>
      <c r="B91" s="4" t="s">
        <v>141</v>
      </c>
      <c r="C91" s="4" t="s">
        <v>10</v>
      </c>
      <c r="D91" s="4" t="s">
        <v>146</v>
      </c>
      <c r="E91" s="4" t="s">
        <v>448</v>
      </c>
      <c r="F91" s="4" t="s">
        <v>449</v>
      </c>
      <c r="G91" s="4" t="s">
        <v>31</v>
      </c>
      <c r="H91" s="4" t="s">
        <v>167</v>
      </c>
      <c r="I91" s="4" t="s">
        <v>452</v>
      </c>
      <c r="J91" s="4" t="s">
        <v>453</v>
      </c>
      <c r="K91" s="4" t="s">
        <v>1066</v>
      </c>
      <c r="L91" s="4" t="s">
        <v>1074</v>
      </c>
      <c r="M91" s="7">
        <v>812</v>
      </c>
      <c r="N91" s="7">
        <v>4060</v>
      </c>
      <c r="O91" s="4"/>
      <c r="P91" s="4"/>
      <c r="Q91" s="4" t="s">
        <v>1071</v>
      </c>
      <c r="R91" s="4" t="s">
        <v>6</v>
      </c>
      <c r="S91" s="4" t="s">
        <v>420</v>
      </c>
      <c r="T91" s="4" t="s">
        <v>141</v>
      </c>
      <c r="U91" s="4" t="s">
        <v>409</v>
      </c>
      <c r="V91" s="4"/>
      <c r="W91" s="4"/>
      <c r="X91" s="4"/>
      <c r="Y91" s="24"/>
    </row>
    <row r="92" spans="1:25">
      <c r="A92" s="29" t="s">
        <v>409</v>
      </c>
      <c r="B92" s="4" t="s">
        <v>141</v>
      </c>
      <c r="C92" s="4" t="s">
        <v>10</v>
      </c>
      <c r="D92" s="4" t="s">
        <v>146</v>
      </c>
      <c r="E92" s="4" t="s">
        <v>448</v>
      </c>
      <c r="F92" s="4" t="s">
        <v>449</v>
      </c>
      <c r="G92" s="4" t="s">
        <v>31</v>
      </c>
      <c r="H92" s="4" t="s">
        <v>167</v>
      </c>
      <c r="I92" s="4" t="s">
        <v>452</v>
      </c>
      <c r="J92" s="4" t="s">
        <v>453</v>
      </c>
      <c r="K92" s="4" t="s">
        <v>1066</v>
      </c>
      <c r="L92" s="4" t="s">
        <v>1076</v>
      </c>
      <c r="M92" s="7">
        <v>10</v>
      </c>
      <c r="N92" s="7">
        <v>65</v>
      </c>
      <c r="O92" s="4"/>
      <c r="P92" s="4"/>
      <c r="Q92" s="4" t="s">
        <v>1071</v>
      </c>
      <c r="R92" s="4" t="s">
        <v>6</v>
      </c>
      <c r="S92" s="4" t="s">
        <v>420</v>
      </c>
      <c r="T92" s="4" t="s">
        <v>141</v>
      </c>
      <c r="U92" s="4" t="s">
        <v>409</v>
      </c>
      <c r="V92" s="4"/>
      <c r="W92" s="4"/>
      <c r="X92" s="4"/>
      <c r="Y92" s="24"/>
    </row>
    <row r="93" spans="1:25">
      <c r="A93" s="29" t="s">
        <v>409</v>
      </c>
      <c r="B93" s="4" t="s">
        <v>141</v>
      </c>
      <c r="C93" s="4" t="s">
        <v>10</v>
      </c>
      <c r="D93" s="4" t="s">
        <v>146</v>
      </c>
      <c r="E93" s="4" t="s">
        <v>448</v>
      </c>
      <c r="F93" s="4" t="s">
        <v>449</v>
      </c>
      <c r="G93" s="4" t="s">
        <v>31</v>
      </c>
      <c r="H93" s="4" t="s">
        <v>167</v>
      </c>
      <c r="I93" s="4" t="s">
        <v>452</v>
      </c>
      <c r="J93" s="4" t="s">
        <v>453</v>
      </c>
      <c r="K93" s="4" t="s">
        <v>1066</v>
      </c>
      <c r="L93" s="4" t="s">
        <v>1072</v>
      </c>
      <c r="M93" s="7">
        <v>43</v>
      </c>
      <c r="N93" s="7">
        <v>205</v>
      </c>
      <c r="O93" s="4"/>
      <c r="P93" s="4"/>
      <c r="Q93" s="4" t="s">
        <v>1071</v>
      </c>
      <c r="R93" s="4" t="s">
        <v>6</v>
      </c>
      <c r="S93" s="4" t="s">
        <v>420</v>
      </c>
      <c r="T93" s="4" t="s">
        <v>141</v>
      </c>
      <c r="U93" s="4" t="s">
        <v>409</v>
      </c>
      <c r="V93" s="4"/>
      <c r="W93" s="4"/>
      <c r="X93" s="4"/>
      <c r="Y93" s="24"/>
    </row>
    <row r="94" spans="1:25">
      <c r="A94" s="29" t="s">
        <v>409</v>
      </c>
      <c r="B94" s="4" t="s">
        <v>141</v>
      </c>
      <c r="C94" s="4" t="s">
        <v>10</v>
      </c>
      <c r="D94" s="4" t="s">
        <v>146</v>
      </c>
      <c r="E94" s="4" t="s">
        <v>448</v>
      </c>
      <c r="F94" s="4" t="s">
        <v>449</v>
      </c>
      <c r="G94" s="4" t="s">
        <v>17</v>
      </c>
      <c r="H94" s="4" t="s">
        <v>168</v>
      </c>
      <c r="I94" s="4" t="s">
        <v>454</v>
      </c>
      <c r="J94" s="4" t="s">
        <v>455</v>
      </c>
      <c r="K94" s="4" t="s">
        <v>1066</v>
      </c>
      <c r="L94" s="4" t="s">
        <v>1072</v>
      </c>
      <c r="M94" s="7">
        <v>25</v>
      </c>
      <c r="N94" s="7">
        <v>125</v>
      </c>
      <c r="O94" s="4"/>
      <c r="P94" s="4"/>
      <c r="Q94" s="4" t="s">
        <v>1071</v>
      </c>
      <c r="R94" s="4" t="s">
        <v>6</v>
      </c>
      <c r="S94" s="4" t="s">
        <v>420</v>
      </c>
      <c r="T94" s="4" t="s">
        <v>141</v>
      </c>
      <c r="U94" s="4" t="s">
        <v>409</v>
      </c>
      <c r="V94" s="4"/>
      <c r="W94" s="4"/>
      <c r="X94" s="4"/>
      <c r="Y94" s="24"/>
    </row>
    <row r="95" spans="1:25">
      <c r="A95" s="29" t="s">
        <v>409</v>
      </c>
      <c r="B95" s="4" t="s">
        <v>141</v>
      </c>
      <c r="C95" s="4" t="s">
        <v>10</v>
      </c>
      <c r="D95" s="4" t="s">
        <v>146</v>
      </c>
      <c r="E95" s="4" t="s">
        <v>448</v>
      </c>
      <c r="F95" s="4" t="s">
        <v>449</v>
      </c>
      <c r="G95" s="4" t="s">
        <v>29</v>
      </c>
      <c r="H95" s="4" t="s">
        <v>172</v>
      </c>
      <c r="I95" s="4" t="s">
        <v>458</v>
      </c>
      <c r="J95" s="4" t="s">
        <v>459</v>
      </c>
      <c r="K95" s="4" t="s">
        <v>1066</v>
      </c>
      <c r="L95" s="4" t="s">
        <v>1077</v>
      </c>
      <c r="M95" s="7">
        <v>3</v>
      </c>
      <c r="N95" s="7">
        <v>17</v>
      </c>
      <c r="O95" s="4"/>
      <c r="P95" s="4"/>
      <c r="Q95" s="4" t="s">
        <v>1071</v>
      </c>
      <c r="R95" s="4" t="s">
        <v>6</v>
      </c>
      <c r="S95" s="4" t="s">
        <v>420</v>
      </c>
      <c r="T95" s="4" t="s">
        <v>141</v>
      </c>
      <c r="U95" s="4" t="s">
        <v>409</v>
      </c>
      <c r="V95" s="4"/>
      <c r="W95" s="4"/>
      <c r="X95" s="4"/>
      <c r="Y95" s="24"/>
    </row>
    <row r="96" spans="1:25">
      <c r="A96" s="199" t="s">
        <v>1225</v>
      </c>
      <c r="B96" s="137" t="s">
        <v>141</v>
      </c>
      <c r="C96" s="4" t="s">
        <v>10</v>
      </c>
      <c r="D96" s="4" t="s">
        <v>146</v>
      </c>
      <c r="E96" s="4">
        <v>15.1673049098147</v>
      </c>
      <c r="F96" s="4">
        <v>10.5022992912047</v>
      </c>
      <c r="G96" s="4" t="s">
        <v>137</v>
      </c>
      <c r="H96" s="4" t="s">
        <v>170</v>
      </c>
      <c r="I96" s="4">
        <v>15.31</v>
      </c>
      <c r="J96" s="4">
        <v>10.09</v>
      </c>
      <c r="K96" s="4" t="s">
        <v>1066</v>
      </c>
      <c r="L96" s="4" t="s">
        <v>1074</v>
      </c>
      <c r="M96" s="7">
        <v>320</v>
      </c>
      <c r="N96" s="7">
        <v>1495</v>
      </c>
      <c r="O96" s="4"/>
      <c r="P96" s="4"/>
      <c r="Q96" s="4" t="s">
        <v>1226</v>
      </c>
      <c r="R96" s="4" t="s">
        <v>403</v>
      </c>
      <c r="S96" s="40" t="s">
        <v>502</v>
      </c>
      <c r="T96" s="4" t="s">
        <v>43</v>
      </c>
      <c r="U96" s="40" t="s">
        <v>504</v>
      </c>
      <c r="V96" s="4" t="s">
        <v>43</v>
      </c>
      <c r="W96" s="4"/>
      <c r="X96" s="4" t="s">
        <v>1228</v>
      </c>
      <c r="Y96" s="24"/>
    </row>
    <row r="97" spans="1:25">
      <c r="A97" s="199" t="s">
        <v>1225</v>
      </c>
      <c r="B97" s="137" t="s">
        <v>141</v>
      </c>
      <c r="C97" s="4" t="s">
        <v>10</v>
      </c>
      <c r="D97" s="4" t="s">
        <v>146</v>
      </c>
      <c r="E97" s="4">
        <v>15.1673049098147</v>
      </c>
      <c r="F97" s="4">
        <v>10.5022992912047</v>
      </c>
      <c r="G97" s="4" t="s">
        <v>136</v>
      </c>
      <c r="H97" s="4" t="s">
        <v>169</v>
      </c>
      <c r="I97" s="4">
        <v>15.1379772569768</v>
      </c>
      <c r="J97" s="4">
        <v>10.4758260817755</v>
      </c>
      <c r="K97" s="4" t="s">
        <v>1066</v>
      </c>
      <c r="L97" s="4" t="s">
        <v>1074</v>
      </c>
      <c r="M97" s="7">
        <v>10</v>
      </c>
      <c r="N97" s="7">
        <v>50</v>
      </c>
      <c r="O97" s="4"/>
      <c r="P97" s="4"/>
      <c r="Q97" s="4" t="s">
        <v>1226</v>
      </c>
      <c r="R97" s="4" t="s">
        <v>403</v>
      </c>
      <c r="S97" s="4" t="s">
        <v>502</v>
      </c>
      <c r="T97" s="4" t="s">
        <v>43</v>
      </c>
      <c r="U97" s="40" t="s">
        <v>504</v>
      </c>
      <c r="V97" s="4" t="s">
        <v>43</v>
      </c>
      <c r="W97" s="4"/>
      <c r="X97" s="4" t="s">
        <v>1228</v>
      </c>
      <c r="Y97" s="24"/>
    </row>
    <row r="98" spans="1:25">
      <c r="A98" s="199" t="s">
        <v>1225</v>
      </c>
      <c r="B98" s="137" t="s">
        <v>141</v>
      </c>
      <c r="C98" s="4" t="s">
        <v>10</v>
      </c>
      <c r="D98" s="4" t="s">
        <v>146</v>
      </c>
      <c r="E98" s="4">
        <v>15.1673049098147</v>
      </c>
      <c r="F98" s="4">
        <v>10.5022992912047</v>
      </c>
      <c r="G98" s="4" t="s">
        <v>136</v>
      </c>
      <c r="H98" s="4" t="s">
        <v>169</v>
      </c>
      <c r="I98" s="4">
        <v>15.1379772569768</v>
      </c>
      <c r="J98" s="4">
        <v>10.4758260817755</v>
      </c>
      <c r="K98" s="4" t="s">
        <v>1066</v>
      </c>
      <c r="L98" s="4" t="s">
        <v>1073</v>
      </c>
      <c r="M98" s="7">
        <v>15</v>
      </c>
      <c r="N98" s="7">
        <v>75</v>
      </c>
      <c r="O98" s="4"/>
      <c r="P98" s="4"/>
      <c r="Q98" s="4" t="s">
        <v>1226</v>
      </c>
      <c r="R98" s="4" t="s">
        <v>403</v>
      </c>
      <c r="S98" s="40" t="s">
        <v>502</v>
      </c>
      <c r="T98" s="4" t="s">
        <v>43</v>
      </c>
      <c r="U98" s="40" t="s">
        <v>504</v>
      </c>
      <c r="V98" s="4" t="s">
        <v>43</v>
      </c>
      <c r="W98" s="4"/>
      <c r="X98" s="4" t="s">
        <v>1228</v>
      </c>
      <c r="Y98" s="24"/>
    </row>
    <row r="99" spans="1:25">
      <c r="A99" s="199" t="s">
        <v>1225</v>
      </c>
      <c r="B99" s="137" t="s">
        <v>141</v>
      </c>
      <c r="C99" s="4" t="s">
        <v>10</v>
      </c>
      <c r="D99" s="4" t="s">
        <v>146</v>
      </c>
      <c r="E99" s="4">
        <v>15.1673049098147</v>
      </c>
      <c r="F99" s="4">
        <v>10.5022992912047</v>
      </c>
      <c r="G99" s="4" t="s">
        <v>136</v>
      </c>
      <c r="H99" s="4" t="s">
        <v>169</v>
      </c>
      <c r="I99" s="4">
        <v>15.1379772569768</v>
      </c>
      <c r="J99" s="4">
        <v>10.4758260817755</v>
      </c>
      <c r="K99" s="4" t="s">
        <v>1066</v>
      </c>
      <c r="L99" s="4" t="s">
        <v>1072</v>
      </c>
      <c r="M99" s="7">
        <v>10</v>
      </c>
      <c r="N99" s="7">
        <v>50</v>
      </c>
      <c r="O99" s="4"/>
      <c r="P99" s="4"/>
      <c r="Q99" s="4" t="s">
        <v>1226</v>
      </c>
      <c r="R99" s="4" t="s">
        <v>403</v>
      </c>
      <c r="S99" s="40" t="s">
        <v>502</v>
      </c>
      <c r="T99" s="4" t="s">
        <v>43</v>
      </c>
      <c r="U99" s="40" t="s">
        <v>504</v>
      </c>
      <c r="V99" s="4" t="s">
        <v>43</v>
      </c>
      <c r="W99" s="4"/>
      <c r="X99" s="4" t="s">
        <v>1228</v>
      </c>
      <c r="Y99" s="24"/>
    </row>
    <row r="100" spans="1:25">
      <c r="A100" s="29" t="s">
        <v>409</v>
      </c>
      <c r="B100" s="4" t="s">
        <v>141</v>
      </c>
      <c r="C100" s="4" t="s">
        <v>4</v>
      </c>
      <c r="D100" s="4" t="s">
        <v>147</v>
      </c>
      <c r="E100" s="4" t="s">
        <v>472</v>
      </c>
      <c r="F100" s="4" t="s">
        <v>473</v>
      </c>
      <c r="G100" s="4" t="s">
        <v>138</v>
      </c>
      <c r="H100" s="4" t="s">
        <v>173</v>
      </c>
      <c r="I100" s="4" t="s">
        <v>474</v>
      </c>
      <c r="J100" s="4" t="s">
        <v>475</v>
      </c>
      <c r="K100" s="4" t="s">
        <v>1</v>
      </c>
      <c r="L100" s="4" t="s">
        <v>1077</v>
      </c>
      <c r="M100" s="7">
        <v>2</v>
      </c>
      <c r="N100" s="7">
        <v>19</v>
      </c>
      <c r="O100" s="4" t="s">
        <v>1099</v>
      </c>
      <c r="P100" s="4"/>
      <c r="Q100" s="4" t="s">
        <v>1067</v>
      </c>
      <c r="R100" s="4" t="s">
        <v>6</v>
      </c>
      <c r="S100" s="4" t="s">
        <v>420</v>
      </c>
      <c r="T100" s="4" t="s">
        <v>141</v>
      </c>
      <c r="U100" s="4" t="s">
        <v>409</v>
      </c>
      <c r="V100" s="4" t="s">
        <v>148</v>
      </c>
      <c r="W100" s="4" t="s">
        <v>27</v>
      </c>
      <c r="X100" s="4"/>
      <c r="Y100" s="24"/>
    </row>
    <row r="101" spans="1:25">
      <c r="A101" s="29" t="s">
        <v>409</v>
      </c>
      <c r="B101" s="4" t="s">
        <v>141</v>
      </c>
      <c r="C101" s="4" t="s">
        <v>4</v>
      </c>
      <c r="D101" s="4" t="s">
        <v>147</v>
      </c>
      <c r="E101" s="4" t="s">
        <v>472</v>
      </c>
      <c r="F101" s="4" t="s">
        <v>473</v>
      </c>
      <c r="G101" s="4" t="s">
        <v>138</v>
      </c>
      <c r="H101" s="4" t="s">
        <v>173</v>
      </c>
      <c r="I101" s="4" t="s">
        <v>474</v>
      </c>
      <c r="J101" s="4" t="s">
        <v>475</v>
      </c>
      <c r="K101" s="4" t="s">
        <v>1</v>
      </c>
      <c r="L101" s="4" t="s">
        <v>1073</v>
      </c>
      <c r="M101" s="7">
        <v>2</v>
      </c>
      <c r="N101" s="7">
        <v>12</v>
      </c>
      <c r="O101" s="4" t="s">
        <v>1099</v>
      </c>
      <c r="P101" s="4"/>
      <c r="Q101" s="4" t="s">
        <v>1067</v>
      </c>
      <c r="R101" s="4" t="s">
        <v>6</v>
      </c>
      <c r="S101" s="4" t="s">
        <v>420</v>
      </c>
      <c r="T101" s="4" t="s">
        <v>141</v>
      </c>
      <c r="U101" s="4" t="s">
        <v>409</v>
      </c>
      <c r="V101" s="4" t="s">
        <v>148</v>
      </c>
      <c r="W101" s="4" t="s">
        <v>27</v>
      </c>
      <c r="X101" s="4"/>
      <c r="Y101" s="24"/>
    </row>
    <row r="102" spans="1:25">
      <c r="A102" s="29" t="s">
        <v>409</v>
      </c>
      <c r="B102" s="4" t="s">
        <v>141</v>
      </c>
      <c r="C102" s="4" t="s">
        <v>4</v>
      </c>
      <c r="D102" s="4" t="s">
        <v>147</v>
      </c>
      <c r="E102" s="4" t="s">
        <v>472</v>
      </c>
      <c r="F102" s="4" t="s">
        <v>473</v>
      </c>
      <c r="G102" s="4" t="s">
        <v>22</v>
      </c>
      <c r="H102" s="4" t="s">
        <v>177</v>
      </c>
      <c r="I102" s="4" t="s">
        <v>484</v>
      </c>
      <c r="J102" s="4" t="s">
        <v>485</v>
      </c>
      <c r="K102" s="4" t="s">
        <v>1</v>
      </c>
      <c r="L102" s="4" t="s">
        <v>1072</v>
      </c>
      <c r="M102" s="7">
        <v>7</v>
      </c>
      <c r="N102" s="7">
        <v>30</v>
      </c>
      <c r="O102" s="4" t="s">
        <v>1078</v>
      </c>
      <c r="P102" s="4"/>
      <c r="Q102" s="4" t="s">
        <v>1067</v>
      </c>
      <c r="R102" s="4" t="s">
        <v>6</v>
      </c>
      <c r="S102" s="4" t="s">
        <v>420</v>
      </c>
      <c r="T102" s="4" t="s">
        <v>141</v>
      </c>
      <c r="U102" s="4" t="s">
        <v>409</v>
      </c>
      <c r="V102" s="4" t="s">
        <v>148</v>
      </c>
      <c r="W102" s="4" t="s">
        <v>27</v>
      </c>
      <c r="X102" s="4"/>
      <c r="Y102" s="24"/>
    </row>
    <row r="103" spans="1:25">
      <c r="A103" s="29" t="s">
        <v>409</v>
      </c>
      <c r="B103" s="4" t="s">
        <v>141</v>
      </c>
      <c r="C103" s="4" t="s">
        <v>4</v>
      </c>
      <c r="D103" s="4" t="s">
        <v>147</v>
      </c>
      <c r="E103" s="4" t="s">
        <v>472</v>
      </c>
      <c r="F103" s="4" t="s">
        <v>473</v>
      </c>
      <c r="G103" s="4" t="s">
        <v>22</v>
      </c>
      <c r="H103" s="4" t="s">
        <v>177</v>
      </c>
      <c r="I103" s="4" t="s">
        <v>484</v>
      </c>
      <c r="J103" s="4" t="s">
        <v>485</v>
      </c>
      <c r="K103" s="4" t="s">
        <v>1</v>
      </c>
      <c r="L103" s="4" t="s">
        <v>1074</v>
      </c>
      <c r="M103" s="7">
        <v>2</v>
      </c>
      <c r="N103" s="7">
        <v>15</v>
      </c>
      <c r="O103" s="4" t="s">
        <v>1078</v>
      </c>
      <c r="P103" s="4"/>
      <c r="Q103" s="4" t="s">
        <v>1067</v>
      </c>
      <c r="R103" s="4" t="s">
        <v>6</v>
      </c>
      <c r="S103" s="4" t="s">
        <v>420</v>
      </c>
      <c r="T103" s="4" t="s">
        <v>141</v>
      </c>
      <c r="U103" s="4" t="s">
        <v>409</v>
      </c>
      <c r="V103" s="4" t="s">
        <v>148</v>
      </c>
      <c r="W103" s="4" t="s">
        <v>27</v>
      </c>
      <c r="X103" s="4"/>
      <c r="Y103" s="24"/>
    </row>
    <row r="104" spans="1:25">
      <c r="A104" s="29" t="s">
        <v>409</v>
      </c>
      <c r="B104" s="4" t="s">
        <v>141</v>
      </c>
      <c r="C104" s="4" t="s">
        <v>4</v>
      </c>
      <c r="D104" s="4" t="s">
        <v>147</v>
      </c>
      <c r="E104" s="4" t="s">
        <v>472</v>
      </c>
      <c r="F104" s="4" t="s">
        <v>473</v>
      </c>
      <c r="G104" s="4" t="s">
        <v>38</v>
      </c>
      <c r="H104" s="4" t="s">
        <v>175</v>
      </c>
      <c r="I104" s="4" t="s">
        <v>476</v>
      </c>
      <c r="J104" s="4" t="s">
        <v>477</v>
      </c>
      <c r="K104" s="4" t="s">
        <v>1</v>
      </c>
      <c r="L104" s="4" t="s">
        <v>1076</v>
      </c>
      <c r="M104" s="7">
        <v>12</v>
      </c>
      <c r="N104" s="7">
        <v>60</v>
      </c>
      <c r="O104" s="4" t="s">
        <v>1099</v>
      </c>
      <c r="P104" s="4"/>
      <c r="Q104" s="4" t="s">
        <v>1067</v>
      </c>
      <c r="R104" s="4" t="s">
        <v>6</v>
      </c>
      <c r="S104" s="4" t="s">
        <v>420</v>
      </c>
      <c r="T104" s="4" t="s">
        <v>141</v>
      </c>
      <c r="U104" s="4" t="s">
        <v>409</v>
      </c>
      <c r="V104" s="4" t="s">
        <v>148</v>
      </c>
      <c r="W104" s="4" t="s">
        <v>27</v>
      </c>
      <c r="X104" s="4"/>
      <c r="Y104" s="24"/>
    </row>
    <row r="105" spans="1:25">
      <c r="A105" s="29" t="s">
        <v>409</v>
      </c>
      <c r="B105" s="4" t="s">
        <v>141</v>
      </c>
      <c r="C105" s="4" t="s">
        <v>4</v>
      </c>
      <c r="D105" s="4" t="s">
        <v>147</v>
      </c>
      <c r="E105" s="4" t="s">
        <v>472</v>
      </c>
      <c r="F105" s="4" t="s">
        <v>473</v>
      </c>
      <c r="G105" s="4" t="s">
        <v>38</v>
      </c>
      <c r="H105" s="4" t="s">
        <v>175</v>
      </c>
      <c r="I105" s="4" t="s">
        <v>476</v>
      </c>
      <c r="J105" s="4" t="s">
        <v>477</v>
      </c>
      <c r="K105" s="4" t="s">
        <v>1</v>
      </c>
      <c r="L105" s="4" t="s">
        <v>1073</v>
      </c>
      <c r="M105" s="7">
        <v>19</v>
      </c>
      <c r="N105" s="7">
        <v>97</v>
      </c>
      <c r="O105" s="4" t="s">
        <v>1099</v>
      </c>
      <c r="P105" s="4"/>
      <c r="Q105" s="4" t="s">
        <v>1067</v>
      </c>
      <c r="R105" s="4" t="s">
        <v>6</v>
      </c>
      <c r="S105" s="4" t="s">
        <v>420</v>
      </c>
      <c r="T105" s="4" t="s">
        <v>141</v>
      </c>
      <c r="U105" s="4" t="s">
        <v>409</v>
      </c>
      <c r="V105" s="4" t="s">
        <v>148</v>
      </c>
      <c r="W105" s="4" t="s">
        <v>27</v>
      </c>
      <c r="X105" s="4"/>
      <c r="Y105" s="24"/>
    </row>
    <row r="106" spans="1:25">
      <c r="A106" s="29" t="s">
        <v>409</v>
      </c>
      <c r="B106" s="4" t="s">
        <v>141</v>
      </c>
      <c r="C106" s="4" t="s">
        <v>4</v>
      </c>
      <c r="D106" s="4" t="s">
        <v>147</v>
      </c>
      <c r="E106" s="4" t="s">
        <v>472</v>
      </c>
      <c r="F106" s="4" t="s">
        <v>473</v>
      </c>
      <c r="G106" s="4" t="s">
        <v>38</v>
      </c>
      <c r="H106" s="4" t="s">
        <v>175</v>
      </c>
      <c r="I106" s="4" t="s">
        <v>476</v>
      </c>
      <c r="J106" s="4" t="s">
        <v>477</v>
      </c>
      <c r="K106" s="4" t="s">
        <v>1</v>
      </c>
      <c r="L106" s="4" t="s">
        <v>1077</v>
      </c>
      <c r="M106" s="7">
        <v>5</v>
      </c>
      <c r="N106" s="7">
        <v>25</v>
      </c>
      <c r="O106" s="4" t="s">
        <v>1099</v>
      </c>
      <c r="P106" s="4"/>
      <c r="Q106" s="4" t="s">
        <v>1067</v>
      </c>
      <c r="R106" s="4" t="s">
        <v>6</v>
      </c>
      <c r="S106" s="4" t="s">
        <v>420</v>
      </c>
      <c r="T106" s="4" t="s">
        <v>141</v>
      </c>
      <c r="U106" s="4" t="s">
        <v>409</v>
      </c>
      <c r="V106" s="4" t="s">
        <v>149</v>
      </c>
      <c r="W106" s="4" t="s">
        <v>2</v>
      </c>
      <c r="X106" s="4"/>
      <c r="Y106" s="24"/>
    </row>
    <row r="107" spans="1:25">
      <c r="A107" s="29" t="s">
        <v>409</v>
      </c>
      <c r="B107" s="4" t="s">
        <v>141</v>
      </c>
      <c r="C107" s="4" t="s">
        <v>4</v>
      </c>
      <c r="D107" s="4" t="s">
        <v>147</v>
      </c>
      <c r="E107" s="4" t="s">
        <v>472</v>
      </c>
      <c r="F107" s="4" t="s">
        <v>473</v>
      </c>
      <c r="G107" s="4" t="s">
        <v>5</v>
      </c>
      <c r="H107" s="4" t="s">
        <v>174</v>
      </c>
      <c r="I107" s="4" t="s">
        <v>505</v>
      </c>
      <c r="J107" s="4" t="s">
        <v>506</v>
      </c>
      <c r="K107" s="4" t="s">
        <v>1065</v>
      </c>
      <c r="L107" s="4" t="s">
        <v>1074</v>
      </c>
      <c r="M107" s="7">
        <v>2</v>
      </c>
      <c r="N107" s="7">
        <v>10</v>
      </c>
      <c r="O107" s="4" t="s">
        <v>1096</v>
      </c>
      <c r="P107" s="40" t="s">
        <v>1186</v>
      </c>
      <c r="Q107" s="4" t="s">
        <v>1070</v>
      </c>
      <c r="R107" s="4" t="s">
        <v>13</v>
      </c>
      <c r="S107" s="4" t="s">
        <v>507</v>
      </c>
      <c r="T107" s="4" t="s">
        <v>508</v>
      </c>
      <c r="U107" s="4" t="s">
        <v>509</v>
      </c>
      <c r="V107" s="4"/>
      <c r="W107" s="4"/>
      <c r="X107" s="4"/>
      <c r="Y107" s="24"/>
    </row>
    <row r="108" spans="1:25">
      <c r="A108" s="29" t="s">
        <v>409</v>
      </c>
      <c r="B108" s="4" t="s">
        <v>141</v>
      </c>
      <c r="C108" s="4" t="s">
        <v>4</v>
      </c>
      <c r="D108" s="4" t="s">
        <v>147</v>
      </c>
      <c r="E108" s="4" t="s">
        <v>472</v>
      </c>
      <c r="F108" s="4" t="s">
        <v>473</v>
      </c>
      <c r="G108" s="4" t="s">
        <v>38</v>
      </c>
      <c r="H108" s="4" t="s">
        <v>175</v>
      </c>
      <c r="I108" s="4" t="s">
        <v>476</v>
      </c>
      <c r="J108" s="4" t="s">
        <v>477</v>
      </c>
      <c r="K108" s="4" t="s">
        <v>1065</v>
      </c>
      <c r="L108" s="4" t="s">
        <v>1073</v>
      </c>
      <c r="M108" s="7">
        <v>1</v>
      </c>
      <c r="N108" s="7">
        <v>2</v>
      </c>
      <c r="O108" s="4" t="s">
        <v>1099</v>
      </c>
      <c r="P108" s="4"/>
      <c r="Q108" s="4" t="s">
        <v>1070</v>
      </c>
      <c r="R108" s="4" t="s">
        <v>402</v>
      </c>
      <c r="S108" s="4" t="s">
        <v>500</v>
      </c>
      <c r="T108" s="4" t="s">
        <v>42</v>
      </c>
      <c r="U108" s="4" t="s">
        <v>501</v>
      </c>
      <c r="V108" s="4"/>
      <c r="W108" s="4"/>
      <c r="X108" s="4"/>
      <c r="Y108" s="24"/>
    </row>
    <row r="109" spans="1:25">
      <c r="A109" s="29" t="s">
        <v>409</v>
      </c>
      <c r="B109" s="4" t="s">
        <v>141</v>
      </c>
      <c r="C109" s="4" t="s">
        <v>4</v>
      </c>
      <c r="D109" s="4" t="s">
        <v>147</v>
      </c>
      <c r="E109" s="4" t="s">
        <v>472</v>
      </c>
      <c r="F109" s="4" t="s">
        <v>473</v>
      </c>
      <c r="G109" s="4" t="s">
        <v>138</v>
      </c>
      <c r="H109" s="4" t="s">
        <v>173</v>
      </c>
      <c r="I109" s="4" t="s">
        <v>474</v>
      </c>
      <c r="J109" s="4" t="s">
        <v>475</v>
      </c>
      <c r="K109" s="4" t="s">
        <v>1066</v>
      </c>
      <c r="L109" s="4" t="s">
        <v>1073</v>
      </c>
      <c r="M109" s="7">
        <v>1</v>
      </c>
      <c r="N109" s="7">
        <v>13</v>
      </c>
      <c r="O109" s="4"/>
      <c r="P109" s="4"/>
      <c r="Q109" s="4" t="s">
        <v>1070</v>
      </c>
      <c r="R109" s="4" t="s">
        <v>13</v>
      </c>
      <c r="S109" s="4" t="s">
        <v>507</v>
      </c>
      <c r="T109" s="4" t="s">
        <v>404</v>
      </c>
      <c r="U109" s="4"/>
      <c r="V109" s="4"/>
      <c r="W109" s="4"/>
      <c r="X109" s="4"/>
      <c r="Y109" s="24"/>
    </row>
    <row r="110" spans="1:25">
      <c r="A110" s="29" t="s">
        <v>409</v>
      </c>
      <c r="B110" s="4" t="s">
        <v>141</v>
      </c>
      <c r="C110" s="4" t="s">
        <v>4</v>
      </c>
      <c r="D110" s="4" t="s">
        <v>147</v>
      </c>
      <c r="E110" s="4" t="s">
        <v>472</v>
      </c>
      <c r="F110" s="4" t="s">
        <v>473</v>
      </c>
      <c r="G110" s="4" t="s">
        <v>90</v>
      </c>
      <c r="H110" s="4" t="s">
        <v>176</v>
      </c>
      <c r="I110" s="4" t="s">
        <v>514</v>
      </c>
      <c r="J110" s="4" t="s">
        <v>515</v>
      </c>
      <c r="K110" s="4" t="s">
        <v>1066</v>
      </c>
      <c r="L110" s="4" t="s">
        <v>1076</v>
      </c>
      <c r="M110" s="7">
        <v>4</v>
      </c>
      <c r="N110" s="7">
        <v>26</v>
      </c>
      <c r="O110" s="4"/>
      <c r="P110" s="4"/>
      <c r="Q110" s="4" t="s">
        <v>1071</v>
      </c>
      <c r="R110" s="4" t="s">
        <v>6</v>
      </c>
      <c r="S110" s="4" t="s">
        <v>420</v>
      </c>
      <c r="T110" s="4" t="s">
        <v>141</v>
      </c>
      <c r="U110" s="4" t="s">
        <v>409</v>
      </c>
      <c r="V110" s="4"/>
      <c r="W110" s="4"/>
      <c r="X110" s="4"/>
      <c r="Y110" s="24"/>
    </row>
    <row r="111" spans="1:25">
      <c r="A111" s="29" t="s">
        <v>409</v>
      </c>
      <c r="B111" s="4" t="s">
        <v>141</v>
      </c>
      <c r="C111" s="4" t="s">
        <v>4</v>
      </c>
      <c r="D111" s="4" t="s">
        <v>147</v>
      </c>
      <c r="E111" s="4" t="s">
        <v>472</v>
      </c>
      <c r="F111" s="4" t="s">
        <v>473</v>
      </c>
      <c r="G111" s="4" t="s">
        <v>90</v>
      </c>
      <c r="H111" s="4" t="s">
        <v>176</v>
      </c>
      <c r="I111" s="4" t="s">
        <v>514</v>
      </c>
      <c r="J111" s="4" t="s">
        <v>515</v>
      </c>
      <c r="K111" s="4" t="s">
        <v>1066</v>
      </c>
      <c r="L111" s="4" t="s">
        <v>1072</v>
      </c>
      <c r="M111" s="7">
        <v>2</v>
      </c>
      <c r="N111" s="7">
        <v>10</v>
      </c>
      <c r="O111" s="4"/>
      <c r="P111" s="4"/>
      <c r="Q111" s="4" t="s">
        <v>1071</v>
      </c>
      <c r="R111" s="4" t="s">
        <v>6</v>
      </c>
      <c r="S111" s="4" t="s">
        <v>420</v>
      </c>
      <c r="T111" s="4" t="s">
        <v>141</v>
      </c>
      <c r="U111" s="4" t="s">
        <v>409</v>
      </c>
      <c r="V111" s="4"/>
      <c r="W111" s="4"/>
      <c r="X111" s="4"/>
      <c r="Y111" s="24"/>
    </row>
    <row r="112" spans="1:25">
      <c r="A112" s="29" t="s">
        <v>409</v>
      </c>
      <c r="B112" s="4" t="s">
        <v>141</v>
      </c>
      <c r="C112" s="4" t="s">
        <v>4</v>
      </c>
      <c r="D112" s="4" t="s">
        <v>147</v>
      </c>
      <c r="E112" s="4" t="s">
        <v>472</v>
      </c>
      <c r="F112" s="4" t="s">
        <v>473</v>
      </c>
      <c r="G112" s="4" t="s">
        <v>22</v>
      </c>
      <c r="H112" s="4" t="s">
        <v>177</v>
      </c>
      <c r="I112" s="4" t="s">
        <v>484</v>
      </c>
      <c r="J112" s="4" t="s">
        <v>485</v>
      </c>
      <c r="K112" s="4" t="s">
        <v>1066</v>
      </c>
      <c r="L112" s="4" t="s">
        <v>1075</v>
      </c>
      <c r="M112" s="7">
        <v>4</v>
      </c>
      <c r="N112" s="7">
        <v>20</v>
      </c>
      <c r="O112" s="4"/>
      <c r="P112" s="4"/>
      <c r="Q112" s="4" t="s">
        <v>1071</v>
      </c>
      <c r="R112" s="4" t="s">
        <v>6</v>
      </c>
      <c r="S112" s="4" t="s">
        <v>420</v>
      </c>
      <c r="T112" s="4" t="s">
        <v>141</v>
      </c>
      <c r="U112" s="4" t="s">
        <v>409</v>
      </c>
      <c r="V112" s="4"/>
      <c r="W112" s="4"/>
      <c r="X112" s="4"/>
      <c r="Y112" s="24"/>
    </row>
    <row r="113" spans="1:25">
      <c r="A113" s="29" t="s">
        <v>409</v>
      </c>
      <c r="B113" s="4" t="s">
        <v>141</v>
      </c>
      <c r="C113" s="4" t="s">
        <v>4</v>
      </c>
      <c r="D113" s="4" t="s">
        <v>147</v>
      </c>
      <c r="E113" s="4" t="s">
        <v>472</v>
      </c>
      <c r="F113" s="4" t="s">
        <v>473</v>
      </c>
      <c r="G113" s="4" t="s">
        <v>5</v>
      </c>
      <c r="H113" s="4" t="s">
        <v>174</v>
      </c>
      <c r="I113" s="4" t="s">
        <v>505</v>
      </c>
      <c r="J113" s="4" t="s">
        <v>506</v>
      </c>
      <c r="K113" s="4" t="s">
        <v>1066</v>
      </c>
      <c r="L113" s="4" t="s">
        <v>1075</v>
      </c>
      <c r="M113" s="7">
        <v>3</v>
      </c>
      <c r="N113" s="7">
        <v>15</v>
      </c>
      <c r="O113" s="4"/>
      <c r="P113" s="4"/>
      <c r="Q113" s="4" t="s">
        <v>1070</v>
      </c>
      <c r="R113" s="4" t="s">
        <v>402</v>
      </c>
      <c r="S113" s="4" t="s">
        <v>500</v>
      </c>
      <c r="T113" s="4" t="s">
        <v>42</v>
      </c>
      <c r="U113" s="4" t="s">
        <v>501</v>
      </c>
      <c r="V113" s="4"/>
      <c r="W113" s="4"/>
      <c r="X113" s="4"/>
      <c r="Y113" s="24"/>
    </row>
    <row r="114" spans="1:25">
      <c r="A114" s="29" t="s">
        <v>409</v>
      </c>
      <c r="B114" s="4" t="s">
        <v>141</v>
      </c>
      <c r="C114" s="4" t="s">
        <v>4</v>
      </c>
      <c r="D114" s="4" t="s">
        <v>147</v>
      </c>
      <c r="E114" s="4" t="s">
        <v>472</v>
      </c>
      <c r="F114" s="4" t="s">
        <v>473</v>
      </c>
      <c r="G114" s="4" t="s">
        <v>5</v>
      </c>
      <c r="H114" s="4" t="s">
        <v>174</v>
      </c>
      <c r="I114" s="4" t="s">
        <v>505</v>
      </c>
      <c r="J114" s="4" t="s">
        <v>506</v>
      </c>
      <c r="K114" s="4" t="s">
        <v>1066</v>
      </c>
      <c r="L114" s="4" t="s">
        <v>1076</v>
      </c>
      <c r="M114" s="7">
        <v>11</v>
      </c>
      <c r="N114" s="7">
        <v>55</v>
      </c>
      <c r="O114" s="4"/>
      <c r="P114" s="4"/>
      <c r="Q114" s="4" t="s">
        <v>1070</v>
      </c>
      <c r="R114" s="4" t="s">
        <v>402</v>
      </c>
      <c r="S114" s="4" t="s">
        <v>500</v>
      </c>
      <c r="T114" s="4" t="s">
        <v>42</v>
      </c>
      <c r="U114" s="4" t="s">
        <v>501</v>
      </c>
      <c r="V114" s="4"/>
      <c r="W114" s="4"/>
      <c r="X114" s="4"/>
      <c r="Y114" s="24"/>
    </row>
    <row r="115" spans="1:25">
      <c r="A115" s="29" t="s">
        <v>409</v>
      </c>
      <c r="B115" s="4" t="s">
        <v>141</v>
      </c>
      <c r="C115" s="4" t="s">
        <v>4</v>
      </c>
      <c r="D115" s="4" t="s">
        <v>147</v>
      </c>
      <c r="E115" s="4" t="s">
        <v>472</v>
      </c>
      <c r="F115" s="4" t="s">
        <v>473</v>
      </c>
      <c r="G115" s="4" t="s">
        <v>5</v>
      </c>
      <c r="H115" s="4" t="s">
        <v>174</v>
      </c>
      <c r="I115" s="4" t="s">
        <v>505</v>
      </c>
      <c r="J115" s="4" t="s">
        <v>506</v>
      </c>
      <c r="K115" s="4" t="s">
        <v>1066</v>
      </c>
      <c r="L115" s="4" t="s">
        <v>1072</v>
      </c>
      <c r="M115" s="7">
        <v>4</v>
      </c>
      <c r="N115" s="7">
        <v>20</v>
      </c>
      <c r="O115" s="4"/>
      <c r="P115" s="4"/>
      <c r="Q115" s="4" t="s">
        <v>1070</v>
      </c>
      <c r="R115" s="4" t="s">
        <v>402</v>
      </c>
      <c r="S115" s="4" t="s">
        <v>500</v>
      </c>
      <c r="T115" s="4" t="s">
        <v>42</v>
      </c>
      <c r="U115" s="4" t="s">
        <v>501</v>
      </c>
      <c r="V115" s="4"/>
      <c r="W115" s="4"/>
      <c r="X115" s="4"/>
      <c r="Y115" s="24"/>
    </row>
    <row r="116" spans="1:25">
      <c r="A116" s="29" t="s">
        <v>409</v>
      </c>
      <c r="B116" s="4" t="s">
        <v>141</v>
      </c>
      <c r="C116" s="4" t="s">
        <v>4</v>
      </c>
      <c r="D116" s="4" t="s">
        <v>147</v>
      </c>
      <c r="E116" s="4" t="s">
        <v>472</v>
      </c>
      <c r="F116" s="4" t="s">
        <v>473</v>
      </c>
      <c r="G116" s="4" t="s">
        <v>5</v>
      </c>
      <c r="H116" s="4" t="s">
        <v>174</v>
      </c>
      <c r="I116" s="4" t="s">
        <v>505</v>
      </c>
      <c r="J116" s="4" t="s">
        <v>506</v>
      </c>
      <c r="K116" s="4" t="s">
        <v>1066</v>
      </c>
      <c r="L116" s="4" t="s">
        <v>1073</v>
      </c>
      <c r="M116" s="7">
        <v>2</v>
      </c>
      <c r="N116" s="7">
        <v>10</v>
      </c>
      <c r="O116" s="4"/>
      <c r="P116" s="4"/>
      <c r="Q116" s="4" t="s">
        <v>1070</v>
      </c>
      <c r="R116" s="4" t="s">
        <v>402</v>
      </c>
      <c r="S116" s="4" t="s">
        <v>500</v>
      </c>
      <c r="T116" s="4" t="s">
        <v>42</v>
      </c>
      <c r="U116" s="4" t="s">
        <v>501</v>
      </c>
      <c r="V116" s="4"/>
      <c r="W116" s="4"/>
      <c r="X116" s="4"/>
      <c r="Y116" s="24"/>
    </row>
    <row r="117" spans="1:25">
      <c r="A117" s="29" t="s">
        <v>409</v>
      </c>
      <c r="B117" s="4" t="s">
        <v>141</v>
      </c>
      <c r="C117" s="4" t="s">
        <v>4</v>
      </c>
      <c r="D117" s="4" t="s">
        <v>147</v>
      </c>
      <c r="E117" s="4" t="s">
        <v>472</v>
      </c>
      <c r="F117" s="4" t="s">
        <v>473</v>
      </c>
      <c r="G117" s="4" t="s">
        <v>38</v>
      </c>
      <c r="H117" s="4" t="s">
        <v>175</v>
      </c>
      <c r="I117" s="4" t="s">
        <v>476</v>
      </c>
      <c r="J117" s="4" t="s">
        <v>477</v>
      </c>
      <c r="K117" s="4" t="s">
        <v>1066</v>
      </c>
      <c r="L117" s="4" t="s">
        <v>1073</v>
      </c>
      <c r="M117" s="7">
        <v>4</v>
      </c>
      <c r="N117" s="7">
        <v>23</v>
      </c>
      <c r="O117" s="4"/>
      <c r="P117" s="4"/>
      <c r="Q117" s="4" t="s">
        <v>1071</v>
      </c>
      <c r="R117" s="4" t="s">
        <v>6</v>
      </c>
      <c r="S117" s="4" t="s">
        <v>420</v>
      </c>
      <c r="T117" s="4" t="s">
        <v>141</v>
      </c>
      <c r="U117" s="4" t="s">
        <v>409</v>
      </c>
      <c r="V117" s="4"/>
      <c r="W117" s="4"/>
      <c r="X117" s="4"/>
      <c r="Y117" s="24"/>
    </row>
    <row r="118" spans="1:25">
      <c r="A118" s="29" t="s">
        <v>409</v>
      </c>
      <c r="B118" s="4" t="s">
        <v>141</v>
      </c>
      <c r="C118" s="4" t="s">
        <v>27</v>
      </c>
      <c r="D118" s="4" t="s">
        <v>148</v>
      </c>
      <c r="E118" s="4" t="s">
        <v>425</v>
      </c>
      <c r="F118" s="4" t="s">
        <v>426</v>
      </c>
      <c r="G118" s="4" t="s">
        <v>33</v>
      </c>
      <c r="H118" s="4" t="s">
        <v>178</v>
      </c>
      <c r="I118" s="4" t="s">
        <v>478</v>
      </c>
      <c r="J118" s="4" t="s">
        <v>479</v>
      </c>
      <c r="K118" s="4" t="s">
        <v>1</v>
      </c>
      <c r="L118" s="4" t="s">
        <v>1077</v>
      </c>
      <c r="M118" s="7">
        <v>288</v>
      </c>
      <c r="N118" s="7">
        <v>1438</v>
      </c>
      <c r="O118" s="4" t="s">
        <v>1099</v>
      </c>
      <c r="P118" s="4"/>
      <c r="Q118" s="4" t="s">
        <v>1068</v>
      </c>
      <c r="R118" s="4" t="s">
        <v>6</v>
      </c>
      <c r="S118" s="4" t="s">
        <v>420</v>
      </c>
      <c r="T118" s="4" t="s">
        <v>141</v>
      </c>
      <c r="U118" s="4" t="s">
        <v>409</v>
      </c>
      <c r="V118" s="4" t="s">
        <v>148</v>
      </c>
      <c r="W118" s="4" t="s">
        <v>27</v>
      </c>
      <c r="X118" s="4"/>
      <c r="Y118" s="24"/>
    </row>
    <row r="119" spans="1:25">
      <c r="A119" s="29" t="s">
        <v>409</v>
      </c>
      <c r="B119" s="4" t="s">
        <v>141</v>
      </c>
      <c r="C119" s="4" t="s">
        <v>27</v>
      </c>
      <c r="D119" s="4" t="s">
        <v>148</v>
      </c>
      <c r="E119" s="4" t="s">
        <v>425</v>
      </c>
      <c r="F119" s="4" t="s">
        <v>426</v>
      </c>
      <c r="G119" s="4" t="s">
        <v>33</v>
      </c>
      <c r="H119" s="4" t="s">
        <v>178</v>
      </c>
      <c r="I119" s="4" t="s">
        <v>478</v>
      </c>
      <c r="J119" s="4" t="s">
        <v>479</v>
      </c>
      <c r="K119" s="4" t="s">
        <v>1</v>
      </c>
      <c r="L119" s="4" t="s">
        <v>1075</v>
      </c>
      <c r="M119" s="7">
        <v>160</v>
      </c>
      <c r="N119" s="7">
        <v>800</v>
      </c>
      <c r="O119" s="4" t="s">
        <v>1099</v>
      </c>
      <c r="P119" s="4"/>
      <c r="Q119" s="4" t="s">
        <v>1068</v>
      </c>
      <c r="R119" s="4" t="s">
        <v>6</v>
      </c>
      <c r="S119" s="4" t="s">
        <v>420</v>
      </c>
      <c r="T119" s="4" t="s">
        <v>141</v>
      </c>
      <c r="U119" s="4" t="s">
        <v>409</v>
      </c>
      <c r="V119" s="4" t="s">
        <v>148</v>
      </c>
      <c r="W119" s="4" t="s">
        <v>27</v>
      </c>
      <c r="X119" s="4"/>
      <c r="Y119" s="24"/>
    </row>
    <row r="120" spans="1:25">
      <c r="A120" s="29" t="s">
        <v>409</v>
      </c>
      <c r="B120" s="4" t="s">
        <v>141</v>
      </c>
      <c r="C120" s="4" t="s">
        <v>27</v>
      </c>
      <c r="D120" s="4" t="s">
        <v>148</v>
      </c>
      <c r="E120" s="4" t="s">
        <v>425</v>
      </c>
      <c r="F120" s="4" t="s">
        <v>426</v>
      </c>
      <c r="G120" s="4" t="s">
        <v>33</v>
      </c>
      <c r="H120" s="4" t="s">
        <v>178</v>
      </c>
      <c r="I120" s="4" t="s">
        <v>478</v>
      </c>
      <c r="J120" s="4" t="s">
        <v>479</v>
      </c>
      <c r="K120" s="4" t="s">
        <v>1</v>
      </c>
      <c r="L120" s="4" t="s">
        <v>1076</v>
      </c>
      <c r="M120" s="7">
        <v>249</v>
      </c>
      <c r="N120" s="7">
        <v>1712</v>
      </c>
      <c r="O120" s="4" t="s">
        <v>1099</v>
      </c>
      <c r="P120" s="4"/>
      <c r="Q120" s="4" t="s">
        <v>1068</v>
      </c>
      <c r="R120" s="4" t="s">
        <v>6</v>
      </c>
      <c r="S120" s="4" t="s">
        <v>420</v>
      </c>
      <c r="T120" s="4" t="s">
        <v>141</v>
      </c>
      <c r="U120" s="4" t="s">
        <v>409</v>
      </c>
      <c r="V120" s="4" t="s">
        <v>148</v>
      </c>
      <c r="W120" s="4" t="s">
        <v>27</v>
      </c>
      <c r="X120" s="4"/>
      <c r="Y120" s="24"/>
    </row>
    <row r="121" spans="1:25">
      <c r="A121" s="29" t="s">
        <v>409</v>
      </c>
      <c r="B121" s="4" t="s">
        <v>141</v>
      </c>
      <c r="C121" s="4" t="s">
        <v>27</v>
      </c>
      <c r="D121" s="4" t="s">
        <v>148</v>
      </c>
      <c r="E121" s="4" t="s">
        <v>425</v>
      </c>
      <c r="F121" s="4" t="s">
        <v>426</v>
      </c>
      <c r="G121" s="4" t="s">
        <v>33</v>
      </c>
      <c r="H121" s="4" t="s">
        <v>178</v>
      </c>
      <c r="I121" s="4" t="s">
        <v>478</v>
      </c>
      <c r="J121" s="4" t="s">
        <v>479</v>
      </c>
      <c r="K121" s="4" t="s">
        <v>1</v>
      </c>
      <c r="L121" s="4" t="s">
        <v>1072</v>
      </c>
      <c r="M121" s="7">
        <v>200</v>
      </c>
      <c r="N121" s="7">
        <v>750</v>
      </c>
      <c r="O121" s="4" t="s">
        <v>1099</v>
      </c>
      <c r="P121" s="4"/>
      <c r="Q121" s="4" t="s">
        <v>1068</v>
      </c>
      <c r="R121" s="4" t="s">
        <v>6</v>
      </c>
      <c r="S121" s="4" t="s">
        <v>420</v>
      </c>
      <c r="T121" s="4" t="s">
        <v>141</v>
      </c>
      <c r="U121" s="4" t="s">
        <v>409</v>
      </c>
      <c r="V121" s="4" t="s">
        <v>148</v>
      </c>
      <c r="W121" s="4" t="s">
        <v>27</v>
      </c>
      <c r="X121" s="4"/>
      <c r="Y121" s="24"/>
    </row>
    <row r="122" spans="1:25">
      <c r="A122" s="29" t="s">
        <v>409</v>
      </c>
      <c r="B122" s="4" t="s">
        <v>141</v>
      </c>
      <c r="C122" s="4" t="s">
        <v>27</v>
      </c>
      <c r="D122" s="4" t="s">
        <v>148</v>
      </c>
      <c r="E122" s="4" t="s">
        <v>425</v>
      </c>
      <c r="F122" s="4" t="s">
        <v>426</v>
      </c>
      <c r="G122" s="4" t="s">
        <v>33</v>
      </c>
      <c r="H122" s="4" t="s">
        <v>178</v>
      </c>
      <c r="I122" s="4" t="s">
        <v>478</v>
      </c>
      <c r="J122" s="4" t="s">
        <v>479</v>
      </c>
      <c r="K122" s="4" t="s">
        <v>1</v>
      </c>
      <c r="L122" s="4" t="s">
        <v>1073</v>
      </c>
      <c r="M122" s="7">
        <v>360</v>
      </c>
      <c r="N122" s="7">
        <v>1700</v>
      </c>
      <c r="O122" s="4" t="s">
        <v>1099</v>
      </c>
      <c r="P122" s="4"/>
      <c r="Q122" s="4" t="s">
        <v>1068</v>
      </c>
      <c r="R122" s="4" t="s">
        <v>6</v>
      </c>
      <c r="S122" s="4" t="s">
        <v>420</v>
      </c>
      <c r="T122" s="4" t="s">
        <v>141</v>
      </c>
      <c r="U122" s="4" t="s">
        <v>409</v>
      </c>
      <c r="V122" s="4" t="s">
        <v>148</v>
      </c>
      <c r="W122" s="4" t="s">
        <v>27</v>
      </c>
      <c r="X122" s="4"/>
      <c r="Y122" s="24"/>
    </row>
    <row r="123" spans="1:25">
      <c r="A123" s="4" t="s">
        <v>409</v>
      </c>
      <c r="B123" s="4" t="s">
        <v>141</v>
      </c>
      <c r="C123" s="4" t="s">
        <v>27</v>
      </c>
      <c r="D123" s="4" t="s">
        <v>148</v>
      </c>
      <c r="E123" s="4" t="s">
        <v>425</v>
      </c>
      <c r="F123" s="4" t="s">
        <v>426</v>
      </c>
      <c r="G123" s="4" t="s">
        <v>28</v>
      </c>
      <c r="H123" s="4" t="s">
        <v>179</v>
      </c>
      <c r="I123" s="4" t="s">
        <v>427</v>
      </c>
      <c r="J123" s="4" t="s">
        <v>428</v>
      </c>
      <c r="K123" s="4" t="s">
        <v>1</v>
      </c>
      <c r="L123" s="4" t="s">
        <v>1074</v>
      </c>
      <c r="M123" s="7">
        <v>164</v>
      </c>
      <c r="N123" s="7">
        <v>432</v>
      </c>
      <c r="O123" s="4" t="s">
        <v>1099</v>
      </c>
      <c r="P123" s="4"/>
      <c r="Q123" s="4" t="s">
        <v>1068</v>
      </c>
      <c r="R123" s="4" t="s">
        <v>6</v>
      </c>
      <c r="S123" s="4" t="s">
        <v>420</v>
      </c>
      <c r="T123" s="4" t="s">
        <v>141</v>
      </c>
      <c r="U123" s="4" t="s">
        <v>409</v>
      </c>
      <c r="V123" s="4" t="s">
        <v>148</v>
      </c>
      <c r="W123" s="4" t="s">
        <v>27</v>
      </c>
      <c r="X123" s="4"/>
      <c r="Y123" s="4"/>
    </row>
    <row r="124" spans="1:25">
      <c r="A124" s="4" t="s">
        <v>409</v>
      </c>
      <c r="B124" s="4" t="s">
        <v>141</v>
      </c>
      <c r="C124" s="4" t="s">
        <v>27</v>
      </c>
      <c r="D124" s="4" t="s">
        <v>148</v>
      </c>
      <c r="E124" s="4" t="s">
        <v>425</v>
      </c>
      <c r="F124" s="4" t="s">
        <v>426</v>
      </c>
      <c r="G124" s="4" t="s">
        <v>28</v>
      </c>
      <c r="H124" s="4" t="s">
        <v>179</v>
      </c>
      <c r="I124" s="4" t="s">
        <v>427</v>
      </c>
      <c r="J124" s="4" t="s">
        <v>428</v>
      </c>
      <c r="K124" s="4" t="s">
        <v>1</v>
      </c>
      <c r="L124" s="4" t="s">
        <v>1077</v>
      </c>
      <c r="M124" s="7">
        <v>34</v>
      </c>
      <c r="N124" s="7">
        <v>173</v>
      </c>
      <c r="O124" s="75" t="s">
        <v>1096</v>
      </c>
      <c r="P124" s="4"/>
      <c r="Q124" s="4" t="s">
        <v>1069</v>
      </c>
      <c r="R124" s="4" t="s">
        <v>6</v>
      </c>
      <c r="S124" s="4" t="s">
        <v>420</v>
      </c>
      <c r="T124" s="4" t="s">
        <v>141</v>
      </c>
      <c r="U124" s="4" t="s">
        <v>409</v>
      </c>
      <c r="V124" s="4" t="s">
        <v>148</v>
      </c>
      <c r="W124" s="4" t="s">
        <v>27</v>
      </c>
      <c r="X124" s="4" t="s">
        <v>178</v>
      </c>
      <c r="Y124" s="4" t="s">
        <v>33</v>
      </c>
    </row>
    <row r="125" spans="1:25">
      <c r="A125" s="4" t="s">
        <v>409</v>
      </c>
      <c r="B125" s="4" t="s">
        <v>141</v>
      </c>
      <c r="C125" s="4" t="s">
        <v>27</v>
      </c>
      <c r="D125" s="4" t="s">
        <v>148</v>
      </c>
      <c r="E125" s="4" t="s">
        <v>425</v>
      </c>
      <c r="F125" s="4" t="s">
        <v>426</v>
      </c>
      <c r="G125" s="4" t="s">
        <v>28</v>
      </c>
      <c r="H125" s="4" t="s">
        <v>179</v>
      </c>
      <c r="I125" s="4" t="s">
        <v>427</v>
      </c>
      <c r="J125" s="4" t="s">
        <v>428</v>
      </c>
      <c r="K125" s="4" t="s">
        <v>1</v>
      </c>
      <c r="L125" s="4" t="s">
        <v>1076</v>
      </c>
      <c r="M125" s="7">
        <v>280</v>
      </c>
      <c r="N125" s="7">
        <v>1680</v>
      </c>
      <c r="O125" s="4" t="s">
        <v>1099</v>
      </c>
      <c r="P125" s="4"/>
      <c r="Q125" s="4" t="s">
        <v>1068</v>
      </c>
      <c r="R125" s="4" t="s">
        <v>6</v>
      </c>
      <c r="S125" s="4" t="s">
        <v>420</v>
      </c>
      <c r="T125" s="4" t="s">
        <v>141</v>
      </c>
      <c r="U125" s="4" t="s">
        <v>409</v>
      </c>
      <c r="V125" s="4" t="s">
        <v>148</v>
      </c>
      <c r="W125" s="4" t="s">
        <v>27</v>
      </c>
      <c r="X125" s="4"/>
      <c r="Y125" s="4"/>
    </row>
    <row r="126" spans="1:25">
      <c r="A126" s="4" t="s">
        <v>409</v>
      </c>
      <c r="B126" s="4" t="s">
        <v>141</v>
      </c>
      <c r="C126" s="4" t="s">
        <v>27</v>
      </c>
      <c r="D126" s="4" t="s">
        <v>148</v>
      </c>
      <c r="E126" s="4" t="s">
        <v>425</v>
      </c>
      <c r="F126" s="4" t="s">
        <v>426</v>
      </c>
      <c r="G126" s="4" t="s">
        <v>28</v>
      </c>
      <c r="H126" s="4" t="s">
        <v>179</v>
      </c>
      <c r="I126" s="4" t="s">
        <v>427</v>
      </c>
      <c r="J126" s="4" t="s">
        <v>428</v>
      </c>
      <c r="K126" s="4" t="s">
        <v>1</v>
      </c>
      <c r="L126" s="4" t="s">
        <v>1075</v>
      </c>
      <c r="M126" s="7">
        <v>123</v>
      </c>
      <c r="N126" s="7">
        <v>738</v>
      </c>
      <c r="O126" s="4" t="s">
        <v>1099</v>
      </c>
      <c r="P126" s="4"/>
      <c r="Q126" s="4" t="s">
        <v>1069</v>
      </c>
      <c r="R126" s="4" t="s">
        <v>6</v>
      </c>
      <c r="S126" s="4" t="s">
        <v>420</v>
      </c>
      <c r="T126" s="4" t="s">
        <v>141</v>
      </c>
      <c r="U126" s="4" t="s">
        <v>409</v>
      </c>
      <c r="V126" s="4" t="s">
        <v>148</v>
      </c>
      <c r="W126" s="4" t="s">
        <v>27</v>
      </c>
      <c r="X126" s="4" t="s">
        <v>178</v>
      </c>
      <c r="Y126" s="4" t="s">
        <v>33</v>
      </c>
    </row>
    <row r="127" spans="1:25">
      <c r="A127" s="4" t="s">
        <v>409</v>
      </c>
      <c r="B127" s="4" t="s">
        <v>141</v>
      </c>
      <c r="C127" s="4" t="s">
        <v>27</v>
      </c>
      <c r="D127" s="4" t="s">
        <v>148</v>
      </c>
      <c r="E127" s="4" t="s">
        <v>425</v>
      </c>
      <c r="F127" s="4" t="s">
        <v>426</v>
      </c>
      <c r="G127" s="4" t="s">
        <v>28</v>
      </c>
      <c r="H127" s="4" t="s">
        <v>179</v>
      </c>
      <c r="I127" s="4" t="s">
        <v>427</v>
      </c>
      <c r="J127" s="4" t="s">
        <v>428</v>
      </c>
      <c r="K127" s="4" t="s">
        <v>1</v>
      </c>
      <c r="L127" s="4" t="s">
        <v>1072</v>
      </c>
      <c r="M127" s="7">
        <v>1851</v>
      </c>
      <c r="N127" s="7">
        <v>11106</v>
      </c>
      <c r="O127" s="4" t="s">
        <v>1099</v>
      </c>
      <c r="P127" s="4"/>
      <c r="Q127" s="4" t="s">
        <v>1068</v>
      </c>
      <c r="R127" s="4" t="s">
        <v>6</v>
      </c>
      <c r="S127" s="4" t="s">
        <v>420</v>
      </c>
      <c r="T127" s="4" t="s">
        <v>141</v>
      </c>
      <c r="U127" s="4" t="s">
        <v>409</v>
      </c>
      <c r="V127" s="4" t="s">
        <v>148</v>
      </c>
      <c r="W127" s="4" t="s">
        <v>27</v>
      </c>
      <c r="X127" s="4"/>
      <c r="Y127" s="4"/>
    </row>
    <row r="128" spans="1:25">
      <c r="A128" s="4" t="s">
        <v>409</v>
      </c>
      <c r="B128" s="4" t="s">
        <v>141</v>
      </c>
      <c r="C128" s="4" t="s">
        <v>27</v>
      </c>
      <c r="D128" s="4" t="s">
        <v>148</v>
      </c>
      <c r="E128" s="4" t="s">
        <v>425</v>
      </c>
      <c r="F128" s="4" t="s">
        <v>426</v>
      </c>
      <c r="G128" s="4" t="s">
        <v>28</v>
      </c>
      <c r="H128" s="4" t="s">
        <v>179</v>
      </c>
      <c r="I128" s="4" t="s">
        <v>427</v>
      </c>
      <c r="J128" s="4" t="s">
        <v>428</v>
      </c>
      <c r="K128" s="4" t="s">
        <v>1</v>
      </c>
      <c r="L128" s="4" t="s">
        <v>1073</v>
      </c>
      <c r="M128" s="7">
        <v>1412</v>
      </c>
      <c r="N128" s="7">
        <v>9427</v>
      </c>
      <c r="O128" s="4" t="s">
        <v>1099</v>
      </c>
      <c r="P128" s="4"/>
      <c r="Q128" s="4" t="s">
        <v>1068</v>
      </c>
      <c r="R128" s="4" t="s">
        <v>6</v>
      </c>
      <c r="S128" s="4" t="s">
        <v>420</v>
      </c>
      <c r="T128" s="4" t="s">
        <v>141</v>
      </c>
      <c r="U128" s="4" t="s">
        <v>409</v>
      </c>
      <c r="V128" s="4" t="s">
        <v>148</v>
      </c>
      <c r="W128" s="4" t="s">
        <v>27</v>
      </c>
      <c r="X128" s="4"/>
      <c r="Y128" s="4"/>
    </row>
    <row r="129" spans="1:25">
      <c r="A129" s="4" t="s">
        <v>409</v>
      </c>
      <c r="B129" s="4" t="s">
        <v>141</v>
      </c>
      <c r="C129" s="4" t="s">
        <v>27</v>
      </c>
      <c r="D129" s="4" t="s">
        <v>148</v>
      </c>
      <c r="E129" s="4" t="s">
        <v>425</v>
      </c>
      <c r="F129" s="4" t="s">
        <v>426</v>
      </c>
      <c r="G129" s="4" t="s">
        <v>139</v>
      </c>
      <c r="H129" s="4" t="s">
        <v>180</v>
      </c>
      <c r="I129" s="4" t="s">
        <v>429</v>
      </c>
      <c r="J129" s="4" t="s">
        <v>430</v>
      </c>
      <c r="K129" s="4" t="s">
        <v>1</v>
      </c>
      <c r="L129" s="4" t="s">
        <v>1076</v>
      </c>
      <c r="M129" s="7">
        <v>17</v>
      </c>
      <c r="N129" s="7">
        <v>78</v>
      </c>
      <c r="O129" s="4" t="s">
        <v>1099</v>
      </c>
      <c r="P129" s="4"/>
      <c r="Q129" s="4" t="s">
        <v>1069</v>
      </c>
      <c r="R129" s="4" t="s">
        <v>6</v>
      </c>
      <c r="S129" s="4" t="s">
        <v>420</v>
      </c>
      <c r="T129" s="4" t="s">
        <v>141</v>
      </c>
      <c r="U129" s="4" t="s">
        <v>409</v>
      </c>
      <c r="V129" s="4" t="s">
        <v>148</v>
      </c>
      <c r="W129" s="4" t="s">
        <v>27</v>
      </c>
      <c r="X129" s="4" t="s">
        <v>178</v>
      </c>
      <c r="Y129" s="4" t="s">
        <v>33</v>
      </c>
    </row>
    <row r="130" spans="1:25">
      <c r="A130" s="4" t="s">
        <v>409</v>
      </c>
      <c r="B130" s="4" t="s">
        <v>141</v>
      </c>
      <c r="C130" s="4" t="s">
        <v>27</v>
      </c>
      <c r="D130" s="4" t="s">
        <v>148</v>
      </c>
      <c r="E130" s="4" t="s">
        <v>425</v>
      </c>
      <c r="F130" s="4" t="s">
        <v>426</v>
      </c>
      <c r="G130" s="4" t="s">
        <v>139</v>
      </c>
      <c r="H130" s="4" t="s">
        <v>180</v>
      </c>
      <c r="I130" s="4" t="s">
        <v>429</v>
      </c>
      <c r="J130" s="4" t="s">
        <v>430</v>
      </c>
      <c r="K130" s="4" t="s">
        <v>1</v>
      </c>
      <c r="L130" s="4" t="s">
        <v>1072</v>
      </c>
      <c r="M130" s="7">
        <v>34</v>
      </c>
      <c r="N130" s="7">
        <v>168</v>
      </c>
      <c r="O130" s="4" t="s">
        <v>1099</v>
      </c>
      <c r="P130" s="4"/>
      <c r="Q130" s="4" t="s">
        <v>1069</v>
      </c>
      <c r="R130" s="4" t="s">
        <v>6</v>
      </c>
      <c r="S130" s="4" t="s">
        <v>420</v>
      </c>
      <c r="T130" s="4" t="s">
        <v>141</v>
      </c>
      <c r="U130" s="4" t="s">
        <v>409</v>
      </c>
      <c r="V130" s="4" t="s">
        <v>148</v>
      </c>
      <c r="W130" s="4" t="s">
        <v>27</v>
      </c>
      <c r="X130" s="4" t="s">
        <v>178</v>
      </c>
      <c r="Y130" s="4" t="s">
        <v>33</v>
      </c>
    </row>
    <row r="131" spans="1:25">
      <c r="A131" s="4" t="s">
        <v>409</v>
      </c>
      <c r="B131" s="4" t="s">
        <v>141</v>
      </c>
      <c r="C131" s="4" t="s">
        <v>27</v>
      </c>
      <c r="D131" s="4" t="s">
        <v>148</v>
      </c>
      <c r="E131" s="4" t="s">
        <v>425</v>
      </c>
      <c r="F131" s="4" t="s">
        <v>426</v>
      </c>
      <c r="G131" s="4" t="s">
        <v>139</v>
      </c>
      <c r="H131" s="4" t="s">
        <v>180</v>
      </c>
      <c r="I131" s="4" t="s">
        <v>429</v>
      </c>
      <c r="J131" s="4" t="s">
        <v>430</v>
      </c>
      <c r="K131" s="4" t="s">
        <v>1</v>
      </c>
      <c r="L131" s="4" t="s">
        <v>1077</v>
      </c>
      <c r="M131" s="7">
        <v>99</v>
      </c>
      <c r="N131" s="7">
        <v>496</v>
      </c>
      <c r="O131" s="4" t="s">
        <v>1099</v>
      </c>
      <c r="P131" s="4"/>
      <c r="Q131" s="4" t="s">
        <v>1069</v>
      </c>
      <c r="R131" s="4" t="s">
        <v>6</v>
      </c>
      <c r="S131" s="4" t="s">
        <v>420</v>
      </c>
      <c r="T131" s="4" t="s">
        <v>141</v>
      </c>
      <c r="U131" s="4" t="s">
        <v>409</v>
      </c>
      <c r="V131" s="4" t="s">
        <v>148</v>
      </c>
      <c r="W131" s="4" t="s">
        <v>27</v>
      </c>
      <c r="X131" s="4"/>
      <c r="Y131" s="4"/>
    </row>
    <row r="132" spans="1:25">
      <c r="A132" s="4" t="s">
        <v>409</v>
      </c>
      <c r="B132" s="4" t="s">
        <v>141</v>
      </c>
      <c r="C132" s="4" t="s">
        <v>27</v>
      </c>
      <c r="D132" s="4" t="s">
        <v>148</v>
      </c>
      <c r="E132" s="4" t="s">
        <v>425</v>
      </c>
      <c r="F132" s="4" t="s">
        <v>426</v>
      </c>
      <c r="G132" s="4" t="s">
        <v>139</v>
      </c>
      <c r="H132" s="4" t="s">
        <v>180</v>
      </c>
      <c r="I132" s="4" t="s">
        <v>429</v>
      </c>
      <c r="J132" s="4" t="s">
        <v>430</v>
      </c>
      <c r="K132" s="4" t="s">
        <v>1</v>
      </c>
      <c r="L132" s="4" t="s">
        <v>1073</v>
      </c>
      <c r="M132" s="7">
        <v>603</v>
      </c>
      <c r="N132" s="7">
        <v>3016</v>
      </c>
      <c r="O132" s="4" t="s">
        <v>1099</v>
      </c>
      <c r="P132" s="4"/>
      <c r="Q132" s="4" t="s">
        <v>1069</v>
      </c>
      <c r="R132" s="4" t="s">
        <v>6</v>
      </c>
      <c r="S132" s="4" t="s">
        <v>420</v>
      </c>
      <c r="T132" s="4" t="s">
        <v>141</v>
      </c>
      <c r="U132" s="4" t="s">
        <v>409</v>
      </c>
      <c r="V132" s="4" t="s">
        <v>148</v>
      </c>
      <c r="W132" s="4" t="s">
        <v>27</v>
      </c>
      <c r="X132" s="4" t="s">
        <v>178</v>
      </c>
      <c r="Y132" s="4" t="s">
        <v>33</v>
      </c>
    </row>
    <row r="133" spans="1:25">
      <c r="A133" s="4" t="s">
        <v>409</v>
      </c>
      <c r="B133" s="4" t="s">
        <v>141</v>
      </c>
      <c r="C133" s="4" t="s">
        <v>27</v>
      </c>
      <c r="D133" s="4" t="s">
        <v>148</v>
      </c>
      <c r="E133" s="4" t="s">
        <v>425</v>
      </c>
      <c r="F133" s="4" t="s">
        <v>426</v>
      </c>
      <c r="G133" s="4" t="s">
        <v>139</v>
      </c>
      <c r="H133" s="4" t="s">
        <v>180</v>
      </c>
      <c r="I133" s="4" t="s">
        <v>429</v>
      </c>
      <c r="J133" s="4" t="s">
        <v>430</v>
      </c>
      <c r="K133" s="4" t="s">
        <v>1</v>
      </c>
      <c r="L133" s="4" t="s">
        <v>1075</v>
      </c>
      <c r="M133" s="7">
        <v>19</v>
      </c>
      <c r="N133" s="7">
        <v>99</v>
      </c>
      <c r="O133" s="4" t="s">
        <v>1099</v>
      </c>
      <c r="P133" s="4"/>
      <c r="Q133" s="4" t="s">
        <v>1069</v>
      </c>
      <c r="R133" s="4" t="s">
        <v>6</v>
      </c>
      <c r="S133" s="4" t="s">
        <v>420</v>
      </c>
      <c r="T133" s="4" t="s">
        <v>141</v>
      </c>
      <c r="U133" s="4" t="s">
        <v>409</v>
      </c>
      <c r="V133" s="4" t="s">
        <v>148</v>
      </c>
      <c r="W133" s="4" t="s">
        <v>27</v>
      </c>
      <c r="X133" s="4"/>
      <c r="Y133" s="4"/>
    </row>
    <row r="134" spans="1:25">
      <c r="A134" s="4" t="s">
        <v>409</v>
      </c>
      <c r="B134" s="4" t="s">
        <v>141</v>
      </c>
      <c r="C134" s="4" t="s">
        <v>27</v>
      </c>
      <c r="D134" s="4" t="s">
        <v>148</v>
      </c>
      <c r="E134" s="4" t="s">
        <v>425</v>
      </c>
      <c r="F134" s="4" t="s">
        <v>426</v>
      </c>
      <c r="G134" s="4" t="s">
        <v>33</v>
      </c>
      <c r="H134" s="4" t="s">
        <v>178</v>
      </c>
      <c r="I134" s="4" t="s">
        <v>478</v>
      </c>
      <c r="J134" s="4" t="s">
        <v>479</v>
      </c>
      <c r="K134" s="4" t="s">
        <v>1065</v>
      </c>
      <c r="L134" s="4" t="s">
        <v>1075</v>
      </c>
      <c r="M134" s="7">
        <v>25</v>
      </c>
      <c r="N134" s="7">
        <v>122</v>
      </c>
      <c r="O134" s="4" t="s">
        <v>1099</v>
      </c>
      <c r="P134" s="4"/>
      <c r="Q134" s="4" t="s">
        <v>1070</v>
      </c>
      <c r="R134" s="4" t="s">
        <v>402</v>
      </c>
      <c r="S134" s="4" t="s">
        <v>500</v>
      </c>
      <c r="T134" s="4" t="s">
        <v>42</v>
      </c>
      <c r="U134" s="4" t="s">
        <v>501</v>
      </c>
      <c r="V134" s="4"/>
      <c r="W134" s="4"/>
      <c r="X134" s="4"/>
      <c r="Y134" s="4"/>
    </row>
    <row r="135" spans="1:25">
      <c r="A135" s="4" t="s">
        <v>409</v>
      </c>
      <c r="B135" s="4" t="s">
        <v>141</v>
      </c>
      <c r="C135" s="4" t="s">
        <v>27</v>
      </c>
      <c r="D135" s="4" t="s">
        <v>148</v>
      </c>
      <c r="E135" s="4" t="s">
        <v>425</v>
      </c>
      <c r="F135" s="4" t="s">
        <v>426</v>
      </c>
      <c r="G135" s="4" t="s">
        <v>33</v>
      </c>
      <c r="H135" s="4" t="s">
        <v>178</v>
      </c>
      <c r="I135" s="4" t="s">
        <v>478</v>
      </c>
      <c r="J135" s="4" t="s">
        <v>479</v>
      </c>
      <c r="K135" s="4" t="s">
        <v>1065</v>
      </c>
      <c r="L135" s="4" t="s">
        <v>1076</v>
      </c>
      <c r="M135" s="7">
        <v>39</v>
      </c>
      <c r="N135" s="7">
        <v>193</v>
      </c>
      <c r="O135" s="4" t="s">
        <v>1099</v>
      </c>
      <c r="P135" s="4"/>
      <c r="Q135" s="4" t="s">
        <v>1070</v>
      </c>
      <c r="R135" s="4" t="s">
        <v>402</v>
      </c>
      <c r="S135" s="4" t="s">
        <v>500</v>
      </c>
      <c r="T135" s="4" t="s">
        <v>42</v>
      </c>
      <c r="U135" s="4" t="s">
        <v>501</v>
      </c>
      <c r="V135" s="4"/>
      <c r="W135" s="4"/>
      <c r="X135" s="4"/>
      <c r="Y135" s="4"/>
    </row>
    <row r="136" spans="1:25">
      <c r="A136" s="4" t="s">
        <v>409</v>
      </c>
      <c r="B136" s="4" t="s">
        <v>141</v>
      </c>
      <c r="C136" s="4" t="s">
        <v>27</v>
      </c>
      <c r="D136" s="4" t="s">
        <v>148</v>
      </c>
      <c r="E136" s="4" t="s">
        <v>425</v>
      </c>
      <c r="F136" s="4" t="s">
        <v>426</v>
      </c>
      <c r="G136" s="4" t="s">
        <v>33</v>
      </c>
      <c r="H136" s="4" t="s">
        <v>178</v>
      </c>
      <c r="I136" s="4" t="s">
        <v>478</v>
      </c>
      <c r="J136" s="4" t="s">
        <v>479</v>
      </c>
      <c r="K136" s="4" t="s">
        <v>1065</v>
      </c>
      <c r="L136" s="4" t="s">
        <v>1072</v>
      </c>
      <c r="M136" s="7">
        <v>40</v>
      </c>
      <c r="N136" s="7">
        <v>200</v>
      </c>
      <c r="O136" s="4" t="s">
        <v>1099</v>
      </c>
      <c r="P136" s="4"/>
      <c r="Q136" s="4" t="s">
        <v>1070</v>
      </c>
      <c r="R136" s="4" t="s">
        <v>402</v>
      </c>
      <c r="S136" s="4" t="s">
        <v>500</v>
      </c>
      <c r="T136" s="4" t="s">
        <v>42</v>
      </c>
      <c r="U136" s="4" t="s">
        <v>501</v>
      </c>
      <c r="V136" s="4"/>
      <c r="W136" s="4"/>
      <c r="X136" s="4"/>
      <c r="Y136" s="4"/>
    </row>
    <row r="137" spans="1:25">
      <c r="A137" s="4" t="s">
        <v>409</v>
      </c>
      <c r="B137" s="4" t="s">
        <v>141</v>
      </c>
      <c r="C137" s="4" t="s">
        <v>27</v>
      </c>
      <c r="D137" s="4" t="s">
        <v>148</v>
      </c>
      <c r="E137" s="4" t="s">
        <v>425</v>
      </c>
      <c r="F137" s="4" t="s">
        <v>426</v>
      </c>
      <c r="G137" s="4" t="s">
        <v>28</v>
      </c>
      <c r="H137" s="4" t="s">
        <v>179</v>
      </c>
      <c r="I137" s="4" t="s">
        <v>427</v>
      </c>
      <c r="J137" s="4" t="s">
        <v>428</v>
      </c>
      <c r="K137" s="4" t="s">
        <v>1066</v>
      </c>
      <c r="L137" s="4" t="s">
        <v>1077</v>
      </c>
      <c r="M137" s="7">
        <v>29</v>
      </c>
      <c r="N137" s="7">
        <v>179</v>
      </c>
      <c r="O137" s="4"/>
      <c r="P137" s="4"/>
      <c r="Q137" s="4" t="s">
        <v>1071</v>
      </c>
      <c r="R137" s="4" t="s">
        <v>6</v>
      </c>
      <c r="S137" s="4" t="s">
        <v>420</v>
      </c>
      <c r="T137" s="4" t="s">
        <v>141</v>
      </c>
      <c r="U137" s="4" t="s">
        <v>409</v>
      </c>
      <c r="V137" s="4"/>
      <c r="W137" s="4"/>
      <c r="X137" s="4"/>
      <c r="Y137" s="4"/>
    </row>
    <row r="138" spans="1:25">
      <c r="A138" s="4" t="s">
        <v>409</v>
      </c>
      <c r="B138" s="4" t="s">
        <v>141</v>
      </c>
      <c r="C138" s="4" t="s">
        <v>27</v>
      </c>
      <c r="D138" s="4" t="s">
        <v>148</v>
      </c>
      <c r="E138" s="4" t="s">
        <v>425</v>
      </c>
      <c r="F138" s="4" t="s">
        <v>426</v>
      </c>
      <c r="G138" s="4" t="s">
        <v>28</v>
      </c>
      <c r="H138" s="4" t="s">
        <v>179</v>
      </c>
      <c r="I138" s="4" t="s">
        <v>427</v>
      </c>
      <c r="J138" s="4" t="s">
        <v>428</v>
      </c>
      <c r="K138" s="4" t="s">
        <v>1066</v>
      </c>
      <c r="L138" s="4" t="s">
        <v>1075</v>
      </c>
      <c r="M138" s="7">
        <v>45</v>
      </c>
      <c r="N138" s="7">
        <v>270</v>
      </c>
      <c r="O138" s="4"/>
      <c r="P138" s="4"/>
      <c r="Q138" s="4" t="s">
        <v>1071</v>
      </c>
      <c r="R138" s="4" t="s">
        <v>6</v>
      </c>
      <c r="S138" s="4" t="s">
        <v>420</v>
      </c>
      <c r="T138" s="4" t="s">
        <v>141</v>
      </c>
      <c r="U138" s="4" t="s">
        <v>409</v>
      </c>
      <c r="V138" s="4"/>
      <c r="W138" s="4"/>
      <c r="X138" s="4"/>
      <c r="Y138" s="4"/>
    </row>
    <row r="139" spans="1:25">
      <c r="A139" s="4" t="s">
        <v>409</v>
      </c>
      <c r="B139" s="4" t="s">
        <v>141</v>
      </c>
      <c r="C139" s="4" t="s">
        <v>27</v>
      </c>
      <c r="D139" s="4" t="s">
        <v>148</v>
      </c>
      <c r="E139" s="4" t="s">
        <v>425</v>
      </c>
      <c r="F139" s="4" t="s">
        <v>426</v>
      </c>
      <c r="G139" s="4" t="s">
        <v>139</v>
      </c>
      <c r="H139" s="4" t="s">
        <v>180</v>
      </c>
      <c r="I139" s="4" t="s">
        <v>429</v>
      </c>
      <c r="J139" s="4" t="s">
        <v>430</v>
      </c>
      <c r="K139" s="4" t="s">
        <v>1066</v>
      </c>
      <c r="L139" s="4" t="s">
        <v>1077</v>
      </c>
      <c r="M139" s="7">
        <v>25</v>
      </c>
      <c r="N139" s="7">
        <v>137</v>
      </c>
      <c r="O139" s="4"/>
      <c r="P139" s="4"/>
      <c r="Q139" s="4" t="s">
        <v>1071</v>
      </c>
      <c r="R139" s="4" t="s">
        <v>6</v>
      </c>
      <c r="S139" s="4" t="s">
        <v>420</v>
      </c>
      <c r="T139" s="4" t="s">
        <v>141</v>
      </c>
      <c r="U139" s="4" t="s">
        <v>409</v>
      </c>
      <c r="V139" s="4"/>
      <c r="W139" s="4"/>
      <c r="X139" s="4"/>
      <c r="Y139" s="4"/>
    </row>
    <row r="140" spans="1:25">
      <c r="A140" s="4" t="s">
        <v>409</v>
      </c>
      <c r="B140" s="4" t="s">
        <v>141</v>
      </c>
      <c r="C140" s="4" t="s">
        <v>2</v>
      </c>
      <c r="D140" s="4" t="s">
        <v>149</v>
      </c>
      <c r="E140" s="4" t="s">
        <v>431</v>
      </c>
      <c r="F140" s="4" t="s">
        <v>432</v>
      </c>
      <c r="G140" s="4" t="s">
        <v>14</v>
      </c>
      <c r="H140" s="4" t="s">
        <v>187</v>
      </c>
      <c r="I140" s="4" t="s">
        <v>439</v>
      </c>
      <c r="J140" s="4" t="s">
        <v>440</v>
      </c>
      <c r="K140" s="4" t="s">
        <v>1</v>
      </c>
      <c r="L140" s="4" t="s">
        <v>1075</v>
      </c>
      <c r="M140" s="7">
        <v>2</v>
      </c>
      <c r="N140" s="7">
        <v>17</v>
      </c>
      <c r="O140" s="4" t="s">
        <v>1099</v>
      </c>
      <c r="P140" s="4"/>
      <c r="Q140" s="4" t="s">
        <v>1069</v>
      </c>
      <c r="R140" s="4" t="s">
        <v>6</v>
      </c>
      <c r="S140" s="4" t="s">
        <v>420</v>
      </c>
      <c r="T140" s="4" t="s">
        <v>141</v>
      </c>
      <c r="U140" s="4" t="s">
        <v>409</v>
      </c>
      <c r="V140" s="4" t="s">
        <v>149</v>
      </c>
      <c r="W140" s="4" t="s">
        <v>2</v>
      </c>
      <c r="X140" s="4" t="s">
        <v>185</v>
      </c>
      <c r="Y140" s="4" t="s">
        <v>16</v>
      </c>
    </row>
    <row r="141" spans="1:25">
      <c r="A141" s="4" t="s">
        <v>409</v>
      </c>
      <c r="B141" s="4" t="s">
        <v>141</v>
      </c>
      <c r="C141" s="4" t="s">
        <v>2</v>
      </c>
      <c r="D141" s="4" t="s">
        <v>149</v>
      </c>
      <c r="E141" s="4" t="s">
        <v>431</v>
      </c>
      <c r="F141" s="4" t="s">
        <v>432</v>
      </c>
      <c r="G141" s="4" t="s">
        <v>14</v>
      </c>
      <c r="H141" s="4" t="s">
        <v>187</v>
      </c>
      <c r="I141" s="4" t="s">
        <v>439</v>
      </c>
      <c r="J141" s="4" t="s">
        <v>440</v>
      </c>
      <c r="K141" s="4" t="s">
        <v>1</v>
      </c>
      <c r="L141" s="4" t="s">
        <v>1073</v>
      </c>
      <c r="M141" s="7">
        <v>16</v>
      </c>
      <c r="N141" s="7">
        <v>82</v>
      </c>
      <c r="O141" s="4" t="s">
        <v>1099</v>
      </c>
      <c r="P141" s="4"/>
      <c r="Q141" s="4" t="s">
        <v>1069</v>
      </c>
      <c r="R141" s="4" t="s">
        <v>6</v>
      </c>
      <c r="S141" s="4" t="s">
        <v>420</v>
      </c>
      <c r="T141" s="4" t="s">
        <v>141</v>
      </c>
      <c r="U141" s="4" t="s">
        <v>409</v>
      </c>
      <c r="V141" s="4" t="s">
        <v>149</v>
      </c>
      <c r="W141" s="4" t="s">
        <v>2</v>
      </c>
      <c r="X141" s="4" t="s">
        <v>185</v>
      </c>
      <c r="Y141" s="4" t="s">
        <v>16</v>
      </c>
    </row>
    <row r="142" spans="1:25">
      <c r="A142" s="4" t="s">
        <v>409</v>
      </c>
      <c r="B142" s="4" t="s">
        <v>141</v>
      </c>
      <c r="C142" s="4" t="s">
        <v>2</v>
      </c>
      <c r="D142" s="4" t="s">
        <v>149</v>
      </c>
      <c r="E142" s="4" t="s">
        <v>431</v>
      </c>
      <c r="F142" s="4" t="s">
        <v>432</v>
      </c>
      <c r="G142" s="4" t="s">
        <v>36</v>
      </c>
      <c r="H142" s="4" t="s">
        <v>183</v>
      </c>
      <c r="I142" s="4" t="s">
        <v>437</v>
      </c>
      <c r="J142" s="4" t="s">
        <v>438</v>
      </c>
      <c r="K142" s="4" t="s">
        <v>1</v>
      </c>
      <c r="L142" s="4" t="s">
        <v>1077</v>
      </c>
      <c r="M142" s="7">
        <v>6</v>
      </c>
      <c r="N142" s="7">
        <v>19</v>
      </c>
      <c r="O142" s="4" t="s">
        <v>1099</v>
      </c>
      <c r="P142" s="4"/>
      <c r="Q142" s="4" t="s">
        <v>1069</v>
      </c>
      <c r="R142" s="4" t="s">
        <v>6</v>
      </c>
      <c r="S142" s="4" t="s">
        <v>420</v>
      </c>
      <c r="T142" s="4" t="s">
        <v>141</v>
      </c>
      <c r="U142" s="4" t="s">
        <v>409</v>
      </c>
      <c r="V142" s="4" t="s">
        <v>149</v>
      </c>
      <c r="W142" s="4" t="s">
        <v>2</v>
      </c>
      <c r="X142" s="4" t="s">
        <v>185</v>
      </c>
      <c r="Y142" s="4" t="s">
        <v>16</v>
      </c>
    </row>
    <row r="143" spans="1:25">
      <c r="A143" s="4" t="s">
        <v>409</v>
      </c>
      <c r="B143" s="4" t="s">
        <v>141</v>
      </c>
      <c r="C143" s="4" t="s">
        <v>2</v>
      </c>
      <c r="D143" s="4" t="s">
        <v>149</v>
      </c>
      <c r="E143" s="4" t="s">
        <v>431</v>
      </c>
      <c r="F143" s="4" t="s">
        <v>432</v>
      </c>
      <c r="G143" s="4" t="s">
        <v>36</v>
      </c>
      <c r="H143" s="4" t="s">
        <v>183</v>
      </c>
      <c r="I143" s="4" t="s">
        <v>437</v>
      </c>
      <c r="J143" s="4" t="s">
        <v>438</v>
      </c>
      <c r="K143" s="4" t="s">
        <v>1</v>
      </c>
      <c r="L143" s="4" t="s">
        <v>1072</v>
      </c>
      <c r="M143" s="7">
        <v>48</v>
      </c>
      <c r="N143" s="7">
        <v>318</v>
      </c>
      <c r="O143" s="4" t="s">
        <v>1099</v>
      </c>
      <c r="P143" s="4"/>
      <c r="Q143" s="4" t="s">
        <v>1069</v>
      </c>
      <c r="R143" s="4" t="s">
        <v>6</v>
      </c>
      <c r="S143" s="4" t="s">
        <v>420</v>
      </c>
      <c r="T143" s="4" t="s">
        <v>141</v>
      </c>
      <c r="U143" s="4" t="s">
        <v>409</v>
      </c>
      <c r="V143" s="4" t="s">
        <v>149</v>
      </c>
      <c r="W143" s="4" t="s">
        <v>2</v>
      </c>
      <c r="X143" s="4" t="s">
        <v>185</v>
      </c>
      <c r="Y143" s="4" t="s">
        <v>16</v>
      </c>
    </row>
    <row r="144" spans="1:25">
      <c r="A144" s="4" t="s">
        <v>409</v>
      </c>
      <c r="B144" s="4" t="s">
        <v>141</v>
      </c>
      <c r="C144" s="4" t="s">
        <v>2</v>
      </c>
      <c r="D144" s="4" t="s">
        <v>149</v>
      </c>
      <c r="E144" s="4" t="s">
        <v>431</v>
      </c>
      <c r="F144" s="4" t="s">
        <v>432</v>
      </c>
      <c r="G144" s="4" t="s">
        <v>36</v>
      </c>
      <c r="H144" s="4" t="s">
        <v>183</v>
      </c>
      <c r="I144" s="4" t="s">
        <v>437</v>
      </c>
      <c r="J144" s="4" t="s">
        <v>438</v>
      </c>
      <c r="K144" s="4" t="s">
        <v>1</v>
      </c>
      <c r="L144" s="4" t="s">
        <v>1073</v>
      </c>
      <c r="M144" s="7">
        <v>54</v>
      </c>
      <c r="N144" s="7">
        <v>412</v>
      </c>
      <c r="O144" s="4" t="s">
        <v>1099</v>
      </c>
      <c r="P144" s="4"/>
      <c r="Q144" s="4" t="s">
        <v>1069</v>
      </c>
      <c r="R144" s="4" t="s">
        <v>6</v>
      </c>
      <c r="S144" s="4" t="s">
        <v>420</v>
      </c>
      <c r="T144" s="4" t="s">
        <v>141</v>
      </c>
      <c r="U144" s="4" t="s">
        <v>409</v>
      </c>
      <c r="V144" s="4" t="s">
        <v>149</v>
      </c>
      <c r="W144" s="4" t="s">
        <v>2</v>
      </c>
      <c r="X144" s="4" t="s">
        <v>185</v>
      </c>
      <c r="Y144" s="4" t="s">
        <v>16</v>
      </c>
    </row>
    <row r="145" spans="1:25">
      <c r="A145" s="4" t="s">
        <v>409</v>
      </c>
      <c r="B145" s="4" t="s">
        <v>141</v>
      </c>
      <c r="C145" s="4" t="s">
        <v>2</v>
      </c>
      <c r="D145" s="4" t="s">
        <v>149</v>
      </c>
      <c r="E145" s="4" t="s">
        <v>431</v>
      </c>
      <c r="F145" s="4" t="s">
        <v>432</v>
      </c>
      <c r="G145" s="4" t="s">
        <v>3</v>
      </c>
      <c r="H145" s="4" t="s">
        <v>184</v>
      </c>
      <c r="I145" s="4" t="s">
        <v>433</v>
      </c>
      <c r="J145" s="4" t="s">
        <v>434</v>
      </c>
      <c r="K145" s="4" t="s">
        <v>1</v>
      </c>
      <c r="L145" s="4" t="s">
        <v>1073</v>
      </c>
      <c r="M145" s="7">
        <v>686</v>
      </c>
      <c r="N145" s="7">
        <v>5354</v>
      </c>
      <c r="O145" s="4" t="s">
        <v>1099</v>
      </c>
      <c r="P145" s="4"/>
      <c r="Q145" s="4" t="s">
        <v>1067</v>
      </c>
      <c r="R145" s="4" t="s">
        <v>6</v>
      </c>
      <c r="S145" s="4" t="s">
        <v>420</v>
      </c>
      <c r="T145" s="4" t="s">
        <v>141</v>
      </c>
      <c r="U145" s="4" t="s">
        <v>409</v>
      </c>
      <c r="V145" s="4" t="s">
        <v>148</v>
      </c>
      <c r="W145" s="4" t="s">
        <v>27</v>
      </c>
      <c r="X145" s="4"/>
      <c r="Y145" s="4"/>
    </row>
    <row r="146" spans="1:25">
      <c r="A146" s="4" t="s">
        <v>409</v>
      </c>
      <c r="B146" s="4" t="s">
        <v>141</v>
      </c>
      <c r="C146" s="4" t="s">
        <v>2</v>
      </c>
      <c r="D146" s="4" t="s">
        <v>149</v>
      </c>
      <c r="E146" s="4" t="s">
        <v>431</v>
      </c>
      <c r="F146" s="4" t="s">
        <v>432</v>
      </c>
      <c r="G146" s="4" t="s">
        <v>3</v>
      </c>
      <c r="H146" s="4" t="s">
        <v>184</v>
      </c>
      <c r="I146" s="4" t="s">
        <v>433</v>
      </c>
      <c r="J146" s="4" t="s">
        <v>434</v>
      </c>
      <c r="K146" s="4" t="s">
        <v>1</v>
      </c>
      <c r="L146" s="4" t="s">
        <v>1072</v>
      </c>
      <c r="M146" s="7">
        <v>375</v>
      </c>
      <c r="N146" s="7">
        <v>3000</v>
      </c>
      <c r="O146" s="4" t="s">
        <v>1099</v>
      </c>
      <c r="P146" s="4"/>
      <c r="Q146" s="4" t="s">
        <v>1069</v>
      </c>
      <c r="R146" s="4" t="s">
        <v>6</v>
      </c>
      <c r="S146" s="4" t="s">
        <v>420</v>
      </c>
      <c r="T146" s="4" t="s">
        <v>141</v>
      </c>
      <c r="U146" s="4" t="s">
        <v>409</v>
      </c>
      <c r="V146" s="4" t="s">
        <v>149</v>
      </c>
      <c r="W146" s="4" t="s">
        <v>2</v>
      </c>
      <c r="X146" s="4" t="s">
        <v>184</v>
      </c>
      <c r="Y146" s="4" t="s">
        <v>3</v>
      </c>
    </row>
    <row r="147" spans="1:25">
      <c r="A147" s="4" t="s">
        <v>409</v>
      </c>
      <c r="B147" s="4" t="s">
        <v>141</v>
      </c>
      <c r="C147" s="4" t="s">
        <v>2</v>
      </c>
      <c r="D147" s="4" t="s">
        <v>149</v>
      </c>
      <c r="E147" s="4" t="s">
        <v>431</v>
      </c>
      <c r="F147" s="4" t="s">
        <v>432</v>
      </c>
      <c r="G147" s="4" t="s">
        <v>3</v>
      </c>
      <c r="H147" s="4" t="s">
        <v>184</v>
      </c>
      <c r="I147" s="4" t="s">
        <v>433</v>
      </c>
      <c r="J147" s="4" t="s">
        <v>434</v>
      </c>
      <c r="K147" s="4" t="s">
        <v>1</v>
      </c>
      <c r="L147" s="4" t="s">
        <v>1075</v>
      </c>
      <c r="M147" s="7">
        <v>21</v>
      </c>
      <c r="N147" s="7">
        <v>159</v>
      </c>
      <c r="O147" s="4" t="s">
        <v>1099</v>
      </c>
      <c r="P147" s="4"/>
      <c r="Q147" s="4" t="s">
        <v>1067</v>
      </c>
      <c r="R147" s="4" t="s">
        <v>6</v>
      </c>
      <c r="S147" s="4" t="s">
        <v>420</v>
      </c>
      <c r="T147" s="4" t="s">
        <v>141</v>
      </c>
      <c r="U147" s="4" t="s">
        <v>409</v>
      </c>
      <c r="V147" s="4" t="s">
        <v>148</v>
      </c>
      <c r="W147" s="4" t="s">
        <v>27</v>
      </c>
      <c r="X147" s="4"/>
      <c r="Y147" s="4"/>
    </row>
    <row r="148" spans="1:25">
      <c r="A148" s="4" t="s">
        <v>409</v>
      </c>
      <c r="B148" s="4" t="s">
        <v>141</v>
      </c>
      <c r="C148" s="4" t="s">
        <v>2</v>
      </c>
      <c r="D148" s="4" t="s">
        <v>149</v>
      </c>
      <c r="E148" s="4" t="s">
        <v>431</v>
      </c>
      <c r="F148" s="4" t="s">
        <v>432</v>
      </c>
      <c r="G148" s="4" t="s">
        <v>99</v>
      </c>
      <c r="H148" s="4" t="s">
        <v>181</v>
      </c>
      <c r="I148" s="4" t="s">
        <v>498</v>
      </c>
      <c r="J148" s="4" t="s">
        <v>499</v>
      </c>
      <c r="K148" s="4" t="s">
        <v>1</v>
      </c>
      <c r="L148" s="4" t="s">
        <v>1075</v>
      </c>
      <c r="M148" s="7">
        <v>30</v>
      </c>
      <c r="N148" s="7">
        <v>423</v>
      </c>
      <c r="O148" s="4" t="s">
        <v>1099</v>
      </c>
      <c r="P148" s="4"/>
      <c r="Q148" s="4" t="s">
        <v>1068</v>
      </c>
      <c r="R148" s="4" t="s">
        <v>6</v>
      </c>
      <c r="S148" s="4" t="s">
        <v>420</v>
      </c>
      <c r="T148" s="4" t="s">
        <v>141</v>
      </c>
      <c r="U148" s="4" t="s">
        <v>409</v>
      </c>
      <c r="V148" s="4" t="s">
        <v>149</v>
      </c>
      <c r="W148" s="4" t="s">
        <v>2</v>
      </c>
      <c r="X148" s="4"/>
      <c r="Y148" s="4"/>
    </row>
    <row r="149" spans="1:25">
      <c r="A149" s="4" t="s">
        <v>409</v>
      </c>
      <c r="B149" s="4" t="s">
        <v>141</v>
      </c>
      <c r="C149" s="4" t="s">
        <v>2</v>
      </c>
      <c r="D149" s="4" t="s">
        <v>149</v>
      </c>
      <c r="E149" s="4" t="s">
        <v>431</v>
      </c>
      <c r="F149" s="4" t="s">
        <v>432</v>
      </c>
      <c r="G149" s="4" t="s">
        <v>99</v>
      </c>
      <c r="H149" s="4" t="s">
        <v>181</v>
      </c>
      <c r="I149" s="4" t="s">
        <v>498</v>
      </c>
      <c r="J149" s="4" t="s">
        <v>499</v>
      </c>
      <c r="K149" s="4" t="s">
        <v>1</v>
      </c>
      <c r="L149" s="4" t="s">
        <v>1076</v>
      </c>
      <c r="M149" s="7">
        <v>195</v>
      </c>
      <c r="N149" s="7">
        <v>1465</v>
      </c>
      <c r="O149" s="4" t="s">
        <v>1099</v>
      </c>
      <c r="P149" s="4"/>
      <c r="Q149" s="4" t="s">
        <v>1068</v>
      </c>
      <c r="R149" s="4" t="s">
        <v>6</v>
      </c>
      <c r="S149" s="4" t="s">
        <v>420</v>
      </c>
      <c r="T149" s="4" t="s">
        <v>141</v>
      </c>
      <c r="U149" s="4" t="s">
        <v>409</v>
      </c>
      <c r="V149" s="4" t="s">
        <v>149</v>
      </c>
      <c r="W149" s="4" t="s">
        <v>2</v>
      </c>
      <c r="X149" s="4"/>
      <c r="Y149" s="4"/>
    </row>
    <row r="150" spans="1:25">
      <c r="A150" s="4" t="s">
        <v>409</v>
      </c>
      <c r="B150" s="4" t="s">
        <v>141</v>
      </c>
      <c r="C150" s="4" t="s">
        <v>2</v>
      </c>
      <c r="D150" s="4" t="s">
        <v>149</v>
      </c>
      <c r="E150" s="4" t="s">
        <v>431</v>
      </c>
      <c r="F150" s="4" t="s">
        <v>432</v>
      </c>
      <c r="G150" s="4" t="s">
        <v>99</v>
      </c>
      <c r="H150" s="4" t="s">
        <v>181</v>
      </c>
      <c r="I150" s="4" t="s">
        <v>498</v>
      </c>
      <c r="J150" s="4" t="s">
        <v>499</v>
      </c>
      <c r="K150" s="4" t="s">
        <v>1</v>
      </c>
      <c r="L150" s="4" t="s">
        <v>1072</v>
      </c>
      <c r="M150" s="7">
        <v>135</v>
      </c>
      <c r="N150" s="7">
        <v>1050</v>
      </c>
      <c r="O150" s="4" t="s">
        <v>1099</v>
      </c>
      <c r="P150" s="4"/>
      <c r="Q150" s="4" t="s">
        <v>1068</v>
      </c>
      <c r="R150" s="4" t="s">
        <v>6</v>
      </c>
      <c r="S150" s="4" t="s">
        <v>420</v>
      </c>
      <c r="T150" s="4" t="s">
        <v>141</v>
      </c>
      <c r="U150" s="4" t="s">
        <v>409</v>
      </c>
      <c r="V150" s="4" t="s">
        <v>149</v>
      </c>
      <c r="W150" s="4" t="s">
        <v>2</v>
      </c>
      <c r="X150" s="4"/>
      <c r="Y150" s="4"/>
    </row>
    <row r="151" spans="1:25">
      <c r="A151" s="4" t="s">
        <v>409</v>
      </c>
      <c r="B151" s="4" t="s">
        <v>141</v>
      </c>
      <c r="C151" s="4" t="s">
        <v>2</v>
      </c>
      <c r="D151" s="4" t="s">
        <v>149</v>
      </c>
      <c r="E151" s="4" t="s">
        <v>431</v>
      </c>
      <c r="F151" s="4" t="s">
        <v>432</v>
      </c>
      <c r="G151" s="4" t="s">
        <v>99</v>
      </c>
      <c r="H151" s="4" t="s">
        <v>181</v>
      </c>
      <c r="I151" s="4" t="s">
        <v>498</v>
      </c>
      <c r="J151" s="4" t="s">
        <v>499</v>
      </c>
      <c r="K151" s="4" t="s">
        <v>1</v>
      </c>
      <c r="L151" s="4" t="s">
        <v>1073</v>
      </c>
      <c r="M151" s="7">
        <v>243</v>
      </c>
      <c r="N151" s="7">
        <v>1161</v>
      </c>
      <c r="O151" s="4" t="s">
        <v>1099</v>
      </c>
      <c r="P151" s="4"/>
      <c r="Q151" s="4" t="s">
        <v>1068</v>
      </c>
      <c r="R151" s="4" t="s">
        <v>6</v>
      </c>
      <c r="S151" s="4" t="s">
        <v>420</v>
      </c>
      <c r="T151" s="4" t="s">
        <v>141</v>
      </c>
      <c r="U151" s="4" t="s">
        <v>409</v>
      </c>
      <c r="V151" s="4" t="s">
        <v>149</v>
      </c>
      <c r="W151" s="4" t="s">
        <v>2</v>
      </c>
      <c r="X151" s="4"/>
      <c r="Y151" s="4"/>
    </row>
    <row r="152" spans="1:25">
      <c r="A152" s="4" t="s">
        <v>409</v>
      </c>
      <c r="B152" s="4" t="s">
        <v>141</v>
      </c>
      <c r="C152" s="4" t="s">
        <v>2</v>
      </c>
      <c r="D152" s="4" t="s">
        <v>149</v>
      </c>
      <c r="E152" s="4" t="s">
        <v>431</v>
      </c>
      <c r="F152" s="4" t="s">
        <v>432</v>
      </c>
      <c r="G152" s="4" t="s">
        <v>35</v>
      </c>
      <c r="H152" s="4" t="s">
        <v>182</v>
      </c>
      <c r="I152" s="4" t="s">
        <v>435</v>
      </c>
      <c r="J152" s="4" t="s">
        <v>436</v>
      </c>
      <c r="K152" s="4" t="s">
        <v>1</v>
      </c>
      <c r="L152" s="4" t="s">
        <v>1076</v>
      </c>
      <c r="M152" s="7">
        <v>208</v>
      </c>
      <c r="N152" s="7">
        <v>1039</v>
      </c>
      <c r="O152" s="4" t="s">
        <v>1099</v>
      </c>
      <c r="P152" s="4"/>
      <c r="Q152" s="4" t="s">
        <v>1069</v>
      </c>
      <c r="R152" s="4" t="s">
        <v>6</v>
      </c>
      <c r="S152" s="4" t="s">
        <v>420</v>
      </c>
      <c r="T152" s="4" t="s">
        <v>141</v>
      </c>
      <c r="U152" s="4" t="s">
        <v>409</v>
      </c>
      <c r="V152" s="4" t="s">
        <v>149</v>
      </c>
      <c r="W152" s="4" t="s">
        <v>2</v>
      </c>
      <c r="X152" s="4" t="s">
        <v>185</v>
      </c>
      <c r="Y152" s="4" t="s">
        <v>16</v>
      </c>
    </row>
    <row r="153" spans="1:25">
      <c r="A153" s="4" t="s">
        <v>409</v>
      </c>
      <c r="B153" s="4" t="s">
        <v>141</v>
      </c>
      <c r="C153" s="4" t="s">
        <v>2</v>
      </c>
      <c r="D153" s="4" t="s">
        <v>149</v>
      </c>
      <c r="E153" s="4" t="s">
        <v>431</v>
      </c>
      <c r="F153" s="4" t="s">
        <v>432</v>
      </c>
      <c r="G153" s="4" t="s">
        <v>35</v>
      </c>
      <c r="H153" s="4" t="s">
        <v>182</v>
      </c>
      <c r="I153" s="4" t="s">
        <v>435</v>
      </c>
      <c r="J153" s="4" t="s">
        <v>436</v>
      </c>
      <c r="K153" s="4" t="s">
        <v>1</v>
      </c>
      <c r="L153" s="4" t="s">
        <v>1075</v>
      </c>
      <c r="M153" s="7">
        <v>105</v>
      </c>
      <c r="N153" s="7">
        <v>522</v>
      </c>
      <c r="O153" s="4" t="s">
        <v>1099</v>
      </c>
      <c r="P153" s="4"/>
      <c r="Q153" s="4" t="s">
        <v>1068</v>
      </c>
      <c r="R153" s="4" t="s">
        <v>6</v>
      </c>
      <c r="S153" s="4" t="s">
        <v>420</v>
      </c>
      <c r="T153" s="4" t="s">
        <v>141</v>
      </c>
      <c r="U153" s="4" t="s">
        <v>409</v>
      </c>
      <c r="V153" s="4" t="s">
        <v>149</v>
      </c>
      <c r="W153" s="4" t="s">
        <v>2</v>
      </c>
      <c r="X153" s="4"/>
      <c r="Y153" s="4"/>
    </row>
    <row r="154" spans="1:25">
      <c r="A154" s="4" t="s">
        <v>409</v>
      </c>
      <c r="B154" s="4" t="s">
        <v>141</v>
      </c>
      <c r="C154" s="4" t="s">
        <v>2</v>
      </c>
      <c r="D154" s="4" t="s">
        <v>149</v>
      </c>
      <c r="E154" s="4" t="s">
        <v>431</v>
      </c>
      <c r="F154" s="4" t="s">
        <v>432</v>
      </c>
      <c r="G154" s="4" t="s">
        <v>35</v>
      </c>
      <c r="H154" s="4" t="s">
        <v>182</v>
      </c>
      <c r="I154" s="4" t="s">
        <v>435</v>
      </c>
      <c r="J154" s="4" t="s">
        <v>436</v>
      </c>
      <c r="K154" s="4" t="s">
        <v>1</v>
      </c>
      <c r="L154" s="4" t="s">
        <v>1073</v>
      </c>
      <c r="M154" s="7">
        <v>507</v>
      </c>
      <c r="N154" s="7">
        <v>2538</v>
      </c>
      <c r="O154" s="4" t="s">
        <v>1099</v>
      </c>
      <c r="P154" s="4"/>
      <c r="Q154" s="4" t="s">
        <v>1069</v>
      </c>
      <c r="R154" s="4" t="s">
        <v>6</v>
      </c>
      <c r="S154" s="4" t="s">
        <v>420</v>
      </c>
      <c r="T154" s="4" t="s">
        <v>141</v>
      </c>
      <c r="U154" s="4" t="s">
        <v>409</v>
      </c>
      <c r="V154" s="4" t="s">
        <v>149</v>
      </c>
      <c r="W154" s="4" t="s">
        <v>2</v>
      </c>
      <c r="X154" s="4" t="s">
        <v>184</v>
      </c>
      <c r="Y154" s="4" t="s">
        <v>3</v>
      </c>
    </row>
    <row r="155" spans="1:25">
      <c r="A155" s="4" t="s">
        <v>409</v>
      </c>
      <c r="B155" s="4" t="s">
        <v>141</v>
      </c>
      <c r="C155" s="4" t="s">
        <v>2</v>
      </c>
      <c r="D155" s="4" t="s">
        <v>149</v>
      </c>
      <c r="E155" s="4" t="s">
        <v>431</v>
      </c>
      <c r="F155" s="4" t="s">
        <v>432</v>
      </c>
      <c r="G155" s="4" t="s">
        <v>16</v>
      </c>
      <c r="H155" s="4" t="s">
        <v>185</v>
      </c>
      <c r="I155" s="4" t="s">
        <v>496</v>
      </c>
      <c r="J155" s="4" t="s">
        <v>497</v>
      </c>
      <c r="K155" s="4" t="s">
        <v>1</v>
      </c>
      <c r="L155" s="4" t="s">
        <v>1077</v>
      </c>
      <c r="M155" s="7">
        <v>47</v>
      </c>
      <c r="N155" s="7">
        <v>235</v>
      </c>
      <c r="O155" s="4" t="s">
        <v>1099</v>
      </c>
      <c r="P155" s="4"/>
      <c r="Q155" s="4" t="s">
        <v>1068</v>
      </c>
      <c r="R155" s="4" t="s">
        <v>6</v>
      </c>
      <c r="S155" s="4" t="s">
        <v>420</v>
      </c>
      <c r="T155" s="4" t="s">
        <v>141</v>
      </c>
      <c r="U155" s="4" t="s">
        <v>409</v>
      </c>
      <c r="V155" s="4" t="s">
        <v>149</v>
      </c>
      <c r="W155" s="4" t="s">
        <v>2</v>
      </c>
      <c r="X155" s="4"/>
      <c r="Y155" s="4"/>
    </row>
    <row r="156" spans="1:25">
      <c r="A156" s="4" t="s">
        <v>409</v>
      </c>
      <c r="B156" s="4" t="s">
        <v>141</v>
      </c>
      <c r="C156" s="4" t="s">
        <v>2</v>
      </c>
      <c r="D156" s="4" t="s">
        <v>149</v>
      </c>
      <c r="E156" s="4" t="s">
        <v>431</v>
      </c>
      <c r="F156" s="4" t="s">
        <v>432</v>
      </c>
      <c r="G156" s="4" t="s">
        <v>16</v>
      </c>
      <c r="H156" s="4" t="s">
        <v>185</v>
      </c>
      <c r="I156" s="4" t="s">
        <v>496</v>
      </c>
      <c r="J156" s="4" t="s">
        <v>497</v>
      </c>
      <c r="K156" s="4" t="s">
        <v>1</v>
      </c>
      <c r="L156" s="4" t="s">
        <v>1075</v>
      </c>
      <c r="M156" s="7">
        <v>106</v>
      </c>
      <c r="N156" s="7">
        <v>530</v>
      </c>
      <c r="O156" s="4" t="s">
        <v>1099</v>
      </c>
      <c r="P156" s="4"/>
      <c r="Q156" s="4" t="s">
        <v>1068</v>
      </c>
      <c r="R156" s="4" t="s">
        <v>6</v>
      </c>
      <c r="S156" s="4" t="s">
        <v>420</v>
      </c>
      <c r="T156" s="4" t="s">
        <v>141</v>
      </c>
      <c r="U156" s="4" t="s">
        <v>409</v>
      </c>
      <c r="V156" s="4" t="s">
        <v>149</v>
      </c>
      <c r="W156" s="4" t="s">
        <v>2</v>
      </c>
      <c r="X156" s="4"/>
      <c r="Y156" s="4"/>
    </row>
    <row r="157" spans="1:25">
      <c r="A157" s="4" t="s">
        <v>409</v>
      </c>
      <c r="B157" s="4" t="s">
        <v>141</v>
      </c>
      <c r="C157" s="4" t="s">
        <v>2</v>
      </c>
      <c r="D157" s="4" t="s">
        <v>149</v>
      </c>
      <c r="E157" s="4" t="s">
        <v>431</v>
      </c>
      <c r="F157" s="4" t="s">
        <v>432</v>
      </c>
      <c r="G157" s="4" t="s">
        <v>16</v>
      </c>
      <c r="H157" s="4" t="s">
        <v>185</v>
      </c>
      <c r="I157" s="4" t="s">
        <v>496</v>
      </c>
      <c r="J157" s="4" t="s">
        <v>497</v>
      </c>
      <c r="K157" s="4" t="s">
        <v>1</v>
      </c>
      <c r="L157" s="4" t="s">
        <v>1072</v>
      </c>
      <c r="M157" s="7">
        <v>236</v>
      </c>
      <c r="N157" s="7">
        <v>1180</v>
      </c>
      <c r="O157" s="4" t="s">
        <v>1099</v>
      </c>
      <c r="P157" s="4"/>
      <c r="Q157" s="4" t="s">
        <v>1068</v>
      </c>
      <c r="R157" s="4" t="s">
        <v>6</v>
      </c>
      <c r="S157" s="4" t="s">
        <v>420</v>
      </c>
      <c r="T157" s="4" t="s">
        <v>141</v>
      </c>
      <c r="U157" s="4" t="s">
        <v>409</v>
      </c>
      <c r="V157" s="4" t="s">
        <v>149</v>
      </c>
      <c r="W157" s="4" t="s">
        <v>2</v>
      </c>
      <c r="X157" s="4"/>
      <c r="Y157" s="4"/>
    </row>
    <row r="158" spans="1:25">
      <c r="A158" s="4" t="s">
        <v>409</v>
      </c>
      <c r="B158" s="4" t="s">
        <v>141</v>
      </c>
      <c r="C158" s="4" t="s">
        <v>2</v>
      </c>
      <c r="D158" s="4" t="s">
        <v>149</v>
      </c>
      <c r="E158" s="4" t="s">
        <v>431</v>
      </c>
      <c r="F158" s="4" t="s">
        <v>432</v>
      </c>
      <c r="G158" s="4" t="s">
        <v>16</v>
      </c>
      <c r="H158" s="4" t="s">
        <v>185</v>
      </c>
      <c r="I158" s="4" t="s">
        <v>496</v>
      </c>
      <c r="J158" s="4" t="s">
        <v>497</v>
      </c>
      <c r="K158" s="4" t="s">
        <v>1</v>
      </c>
      <c r="L158" s="4" t="s">
        <v>1073</v>
      </c>
      <c r="M158" s="7">
        <v>644</v>
      </c>
      <c r="N158" s="7">
        <v>3220</v>
      </c>
      <c r="O158" s="4" t="s">
        <v>1099</v>
      </c>
      <c r="P158" s="4"/>
      <c r="Q158" s="4" t="s">
        <v>1068</v>
      </c>
      <c r="R158" s="4" t="s">
        <v>6</v>
      </c>
      <c r="S158" s="4" t="s">
        <v>420</v>
      </c>
      <c r="T158" s="4" t="s">
        <v>141</v>
      </c>
      <c r="U158" s="4" t="s">
        <v>409</v>
      </c>
      <c r="V158" s="4" t="s">
        <v>149</v>
      </c>
      <c r="W158" s="4" t="s">
        <v>2</v>
      </c>
      <c r="X158" s="4"/>
      <c r="Y158" s="4"/>
    </row>
    <row r="159" spans="1:25">
      <c r="A159" s="4" t="s">
        <v>409</v>
      </c>
      <c r="B159" s="4" t="s">
        <v>141</v>
      </c>
      <c r="C159" s="4" t="s">
        <v>2</v>
      </c>
      <c r="D159" s="4" t="s">
        <v>149</v>
      </c>
      <c r="E159" s="4" t="s">
        <v>431</v>
      </c>
      <c r="F159" s="4" t="s">
        <v>432</v>
      </c>
      <c r="G159" s="4" t="s">
        <v>410</v>
      </c>
      <c r="H159" s="4" t="s">
        <v>186</v>
      </c>
      <c r="I159" s="4" t="s">
        <v>482</v>
      </c>
      <c r="J159" s="4" t="s">
        <v>483</v>
      </c>
      <c r="K159" s="4" t="s">
        <v>1</v>
      </c>
      <c r="L159" s="4" t="s">
        <v>1073</v>
      </c>
      <c r="M159" s="7">
        <v>65</v>
      </c>
      <c r="N159" s="7">
        <v>320</v>
      </c>
      <c r="O159" s="4" t="s">
        <v>1099</v>
      </c>
      <c r="P159" s="4"/>
      <c r="Q159" s="4" t="s">
        <v>1069</v>
      </c>
      <c r="R159" s="4" t="s">
        <v>6</v>
      </c>
      <c r="S159" s="4" t="s">
        <v>420</v>
      </c>
      <c r="T159" s="4" t="s">
        <v>141</v>
      </c>
      <c r="U159" s="4" t="s">
        <v>409</v>
      </c>
      <c r="V159" s="4" t="s">
        <v>149</v>
      </c>
      <c r="W159" s="4" t="s">
        <v>2</v>
      </c>
      <c r="X159" s="4"/>
      <c r="Y159" s="4"/>
    </row>
    <row r="160" spans="1:25">
      <c r="A160" s="4" t="s">
        <v>409</v>
      </c>
      <c r="B160" s="4" t="s">
        <v>141</v>
      </c>
      <c r="C160" s="4" t="s">
        <v>2</v>
      </c>
      <c r="D160" s="4" t="s">
        <v>149</v>
      </c>
      <c r="E160" s="4" t="s">
        <v>431</v>
      </c>
      <c r="F160" s="4" t="s">
        <v>432</v>
      </c>
      <c r="G160" s="4" t="s">
        <v>410</v>
      </c>
      <c r="H160" s="4" t="s">
        <v>186</v>
      </c>
      <c r="I160" s="4" t="s">
        <v>482</v>
      </c>
      <c r="J160" s="4" t="s">
        <v>483</v>
      </c>
      <c r="K160" s="4" t="s">
        <v>1</v>
      </c>
      <c r="L160" s="4" t="s">
        <v>1075</v>
      </c>
      <c r="M160" s="7">
        <v>5</v>
      </c>
      <c r="N160" s="7">
        <v>20</v>
      </c>
      <c r="O160" s="4" t="s">
        <v>1099</v>
      </c>
      <c r="P160" s="4"/>
      <c r="Q160" s="4" t="s">
        <v>1067</v>
      </c>
      <c r="R160" s="4" t="s">
        <v>6</v>
      </c>
      <c r="S160" s="4" t="s">
        <v>420</v>
      </c>
      <c r="T160" s="4" t="s">
        <v>141</v>
      </c>
      <c r="U160" s="4" t="s">
        <v>409</v>
      </c>
      <c r="V160" s="4" t="s">
        <v>148</v>
      </c>
      <c r="W160" s="4" t="s">
        <v>27</v>
      </c>
      <c r="X160" s="4"/>
      <c r="Y160" s="4"/>
    </row>
    <row r="161" spans="1:25">
      <c r="A161" s="4" t="s">
        <v>409</v>
      </c>
      <c r="B161" s="4" t="s">
        <v>141</v>
      </c>
      <c r="C161" s="4" t="s">
        <v>2</v>
      </c>
      <c r="D161" s="4" t="s">
        <v>149</v>
      </c>
      <c r="E161" s="4" t="s">
        <v>431</v>
      </c>
      <c r="F161" s="4" t="s">
        <v>432</v>
      </c>
      <c r="G161" s="4" t="s">
        <v>410</v>
      </c>
      <c r="H161" s="4" t="s">
        <v>186</v>
      </c>
      <c r="I161" s="4" t="s">
        <v>482</v>
      </c>
      <c r="J161" s="4" t="s">
        <v>483</v>
      </c>
      <c r="K161" s="4" t="s">
        <v>1</v>
      </c>
      <c r="L161" s="4" t="s">
        <v>1072</v>
      </c>
      <c r="M161" s="7">
        <v>32</v>
      </c>
      <c r="N161" s="7">
        <v>147</v>
      </c>
      <c r="O161" s="4" t="s">
        <v>1099</v>
      </c>
      <c r="P161" s="4"/>
      <c r="Q161" s="4" t="s">
        <v>1067</v>
      </c>
      <c r="R161" s="4" t="s">
        <v>6</v>
      </c>
      <c r="S161" s="4" t="s">
        <v>420</v>
      </c>
      <c r="T161" s="4" t="s">
        <v>141</v>
      </c>
      <c r="U161" s="4" t="s">
        <v>409</v>
      </c>
      <c r="V161" s="4" t="s">
        <v>148</v>
      </c>
      <c r="W161" s="4" t="s">
        <v>27</v>
      </c>
      <c r="X161" s="4"/>
      <c r="Y161" s="4"/>
    </row>
    <row r="162" spans="1:25">
      <c r="A162" s="4" t="s">
        <v>409</v>
      </c>
      <c r="B162" s="4" t="s">
        <v>141</v>
      </c>
      <c r="C162" s="4" t="s">
        <v>2</v>
      </c>
      <c r="D162" s="4" t="s">
        <v>149</v>
      </c>
      <c r="E162" s="4" t="s">
        <v>431</v>
      </c>
      <c r="F162" s="4" t="s">
        <v>432</v>
      </c>
      <c r="G162" s="4" t="s">
        <v>14</v>
      </c>
      <c r="H162" s="4" t="s">
        <v>187</v>
      </c>
      <c r="I162" s="4" t="s">
        <v>439</v>
      </c>
      <c r="J162" s="4" t="s">
        <v>440</v>
      </c>
      <c r="K162" s="4" t="s">
        <v>1066</v>
      </c>
      <c r="L162" s="4" t="s">
        <v>1073</v>
      </c>
      <c r="M162" s="7">
        <v>4</v>
      </c>
      <c r="N162" s="7">
        <v>18</v>
      </c>
      <c r="O162" s="4"/>
      <c r="P162" s="4"/>
      <c r="Q162" s="4" t="s">
        <v>1071</v>
      </c>
      <c r="R162" s="4" t="s">
        <v>6</v>
      </c>
      <c r="S162" s="4" t="s">
        <v>420</v>
      </c>
      <c r="T162" s="4" t="s">
        <v>141</v>
      </c>
      <c r="U162" s="4" t="s">
        <v>409</v>
      </c>
      <c r="V162" s="4"/>
      <c r="W162" s="4"/>
      <c r="X162" s="4"/>
      <c r="Y162" s="4"/>
    </row>
    <row r="163" spans="1:25">
      <c r="A163" s="4" t="s">
        <v>409</v>
      </c>
      <c r="B163" s="4" t="s">
        <v>141</v>
      </c>
      <c r="C163" s="4" t="s">
        <v>2</v>
      </c>
      <c r="D163" s="4" t="s">
        <v>149</v>
      </c>
      <c r="E163" s="4" t="s">
        <v>431</v>
      </c>
      <c r="F163" s="4" t="s">
        <v>432</v>
      </c>
      <c r="G163" s="4" t="s">
        <v>14</v>
      </c>
      <c r="H163" s="4" t="s">
        <v>187</v>
      </c>
      <c r="I163" s="4" t="s">
        <v>439</v>
      </c>
      <c r="J163" s="4" t="s">
        <v>440</v>
      </c>
      <c r="K163" s="4" t="s">
        <v>1066</v>
      </c>
      <c r="L163" s="4" t="s">
        <v>1072</v>
      </c>
      <c r="M163" s="7">
        <v>2</v>
      </c>
      <c r="N163" s="7">
        <v>9</v>
      </c>
      <c r="O163" s="4"/>
      <c r="P163" s="4"/>
      <c r="Q163" s="4" t="s">
        <v>1071</v>
      </c>
      <c r="R163" s="4" t="s">
        <v>6</v>
      </c>
      <c r="S163" s="4" t="s">
        <v>420</v>
      </c>
      <c r="T163" s="4" t="s">
        <v>143</v>
      </c>
      <c r="U163" s="4" t="s">
        <v>511</v>
      </c>
      <c r="V163" s="4"/>
      <c r="W163" s="4"/>
      <c r="X163" s="4"/>
      <c r="Y163" s="4"/>
    </row>
    <row r="164" spans="1:25">
      <c r="A164" s="4" t="s">
        <v>409</v>
      </c>
      <c r="B164" s="4" t="s">
        <v>141</v>
      </c>
      <c r="C164" s="4" t="s">
        <v>2</v>
      </c>
      <c r="D164" s="4" t="s">
        <v>149</v>
      </c>
      <c r="E164" s="4" t="s">
        <v>431</v>
      </c>
      <c r="F164" s="4" t="s">
        <v>432</v>
      </c>
      <c r="G164" s="4" t="s">
        <v>14</v>
      </c>
      <c r="H164" s="4" t="s">
        <v>187</v>
      </c>
      <c r="I164" s="4" t="s">
        <v>439</v>
      </c>
      <c r="J164" s="4" t="s">
        <v>440</v>
      </c>
      <c r="K164" s="4" t="s">
        <v>1066</v>
      </c>
      <c r="L164" s="4" t="s">
        <v>1077</v>
      </c>
      <c r="M164" s="7">
        <v>2</v>
      </c>
      <c r="N164" s="7">
        <v>12</v>
      </c>
      <c r="O164" s="4"/>
      <c r="P164" s="4"/>
      <c r="Q164" s="4" t="s">
        <v>1071</v>
      </c>
      <c r="R164" s="4" t="s">
        <v>6</v>
      </c>
      <c r="S164" s="4" t="s">
        <v>420</v>
      </c>
      <c r="T164" s="4" t="s">
        <v>141</v>
      </c>
      <c r="U164" s="4" t="s">
        <v>409</v>
      </c>
      <c r="V164" s="4"/>
      <c r="W164" s="4"/>
      <c r="X164" s="4"/>
      <c r="Y164" s="4"/>
    </row>
    <row r="165" spans="1:25">
      <c r="A165" s="4" t="s">
        <v>409</v>
      </c>
      <c r="B165" s="4" t="s">
        <v>141</v>
      </c>
      <c r="C165" s="4" t="s">
        <v>2</v>
      </c>
      <c r="D165" s="4" t="s">
        <v>149</v>
      </c>
      <c r="E165" s="4" t="s">
        <v>431</v>
      </c>
      <c r="F165" s="4" t="s">
        <v>432</v>
      </c>
      <c r="G165" s="4" t="s">
        <v>36</v>
      </c>
      <c r="H165" s="4" t="s">
        <v>183</v>
      </c>
      <c r="I165" s="4" t="s">
        <v>437</v>
      </c>
      <c r="J165" s="4" t="s">
        <v>438</v>
      </c>
      <c r="K165" s="4" t="s">
        <v>1066</v>
      </c>
      <c r="L165" s="4" t="s">
        <v>1072</v>
      </c>
      <c r="M165" s="7">
        <v>9</v>
      </c>
      <c r="N165" s="7">
        <v>63</v>
      </c>
      <c r="O165" s="4"/>
      <c r="P165" s="4"/>
      <c r="Q165" s="4" t="s">
        <v>1071</v>
      </c>
      <c r="R165" s="4" t="s">
        <v>6</v>
      </c>
      <c r="S165" s="4" t="s">
        <v>420</v>
      </c>
      <c r="T165" s="4" t="s">
        <v>143</v>
      </c>
      <c r="U165" s="4" t="s">
        <v>511</v>
      </c>
      <c r="V165" s="4"/>
      <c r="W165" s="4"/>
      <c r="X165" s="4"/>
      <c r="Y165" s="4"/>
    </row>
    <row r="166" spans="1:25">
      <c r="A166" s="4" t="s">
        <v>409</v>
      </c>
      <c r="B166" s="4" t="s">
        <v>141</v>
      </c>
      <c r="C166" s="4" t="s">
        <v>2</v>
      </c>
      <c r="D166" s="4" t="s">
        <v>149</v>
      </c>
      <c r="E166" s="4" t="s">
        <v>431</v>
      </c>
      <c r="F166" s="4" t="s">
        <v>432</v>
      </c>
      <c r="G166" s="4" t="s">
        <v>99</v>
      </c>
      <c r="H166" s="4" t="s">
        <v>181</v>
      </c>
      <c r="I166" s="4" t="s">
        <v>498</v>
      </c>
      <c r="J166" s="4" t="s">
        <v>499</v>
      </c>
      <c r="K166" s="4" t="s">
        <v>1066</v>
      </c>
      <c r="L166" s="4" t="s">
        <v>1072</v>
      </c>
      <c r="M166" s="7">
        <v>49</v>
      </c>
      <c r="N166" s="7">
        <v>355</v>
      </c>
      <c r="O166" s="4"/>
      <c r="P166" s="4"/>
      <c r="Q166" s="4" t="s">
        <v>1071</v>
      </c>
      <c r="R166" s="4" t="s">
        <v>6</v>
      </c>
      <c r="S166" s="4" t="s">
        <v>420</v>
      </c>
      <c r="T166" s="4" t="s">
        <v>141</v>
      </c>
      <c r="U166" s="4" t="s">
        <v>409</v>
      </c>
      <c r="V166" s="4"/>
      <c r="W166" s="4"/>
      <c r="X166" s="4"/>
      <c r="Y166" s="4"/>
    </row>
    <row r="167" spans="1:25">
      <c r="A167" s="4" t="s">
        <v>409</v>
      </c>
      <c r="B167" s="4" t="s">
        <v>141</v>
      </c>
      <c r="C167" s="4" t="s">
        <v>2</v>
      </c>
      <c r="D167" s="4" t="s">
        <v>149</v>
      </c>
      <c r="E167" s="4" t="s">
        <v>431</v>
      </c>
      <c r="F167" s="4" t="s">
        <v>432</v>
      </c>
      <c r="G167" s="4" t="s">
        <v>99</v>
      </c>
      <c r="H167" s="4" t="s">
        <v>181</v>
      </c>
      <c r="I167" s="4" t="s">
        <v>498</v>
      </c>
      <c r="J167" s="4" t="s">
        <v>499</v>
      </c>
      <c r="K167" s="4" t="s">
        <v>1066</v>
      </c>
      <c r="L167" s="4" t="s">
        <v>1077</v>
      </c>
      <c r="M167" s="7">
        <v>34</v>
      </c>
      <c r="N167" s="7">
        <v>254</v>
      </c>
      <c r="O167" s="4"/>
      <c r="P167" s="4"/>
      <c r="Q167" s="4" t="s">
        <v>1071</v>
      </c>
      <c r="R167" s="4" t="s">
        <v>6</v>
      </c>
      <c r="S167" s="4" t="s">
        <v>420</v>
      </c>
      <c r="T167" s="4" t="s">
        <v>141</v>
      </c>
      <c r="U167" s="4" t="s">
        <v>409</v>
      </c>
      <c r="V167" s="4"/>
      <c r="W167" s="4"/>
      <c r="X167" s="4"/>
      <c r="Y167" s="4"/>
    </row>
    <row r="168" spans="1:25">
      <c r="A168" s="137" t="s">
        <v>1225</v>
      </c>
      <c r="B168" s="137" t="s">
        <v>141</v>
      </c>
      <c r="C168" s="4" t="s">
        <v>2</v>
      </c>
      <c r="D168" s="4" t="s">
        <v>149</v>
      </c>
      <c r="E168" s="4">
        <v>13.784815459887</v>
      </c>
      <c r="F168" s="4">
        <v>10.8245672347739</v>
      </c>
      <c r="G168" s="4" t="s">
        <v>99</v>
      </c>
      <c r="H168" s="4" t="s">
        <v>181</v>
      </c>
      <c r="I168" s="4">
        <v>13.633551602562299</v>
      </c>
      <c r="J168" s="4">
        <v>10.53</v>
      </c>
      <c r="K168" s="4" t="s">
        <v>1066</v>
      </c>
      <c r="L168" s="4" t="s">
        <v>1073</v>
      </c>
      <c r="M168" s="7">
        <v>37</v>
      </c>
      <c r="N168" s="7">
        <v>185</v>
      </c>
      <c r="O168" s="4"/>
      <c r="P168" s="4"/>
      <c r="Q168" s="4" t="s">
        <v>1226</v>
      </c>
      <c r="R168" s="4" t="s">
        <v>402</v>
      </c>
      <c r="S168" s="4" t="s">
        <v>500</v>
      </c>
      <c r="T168" s="4" t="s">
        <v>42</v>
      </c>
      <c r="U168" s="4" t="s">
        <v>501</v>
      </c>
      <c r="V168" s="4"/>
      <c r="W168" s="4"/>
      <c r="X168" s="4"/>
      <c r="Y168" s="4"/>
    </row>
    <row r="169" spans="1:25">
      <c r="A169" s="137" t="s">
        <v>1225</v>
      </c>
      <c r="B169" s="137" t="s">
        <v>141</v>
      </c>
      <c r="C169" s="4" t="s">
        <v>2</v>
      </c>
      <c r="D169" s="4" t="s">
        <v>149</v>
      </c>
      <c r="E169" s="4">
        <v>13.784815459887</v>
      </c>
      <c r="F169" s="4">
        <v>10.8245672347739</v>
      </c>
      <c r="G169" s="4" t="s">
        <v>99</v>
      </c>
      <c r="H169" s="4" t="s">
        <v>181</v>
      </c>
      <c r="I169" s="4">
        <v>13.633551602562299</v>
      </c>
      <c r="J169" s="4">
        <v>10.53</v>
      </c>
      <c r="K169" s="4" t="s">
        <v>1066</v>
      </c>
      <c r="L169" s="4" t="s">
        <v>1072</v>
      </c>
      <c r="M169" s="7">
        <v>20</v>
      </c>
      <c r="N169" s="7">
        <v>100</v>
      </c>
      <c r="O169" s="4"/>
      <c r="P169" s="4"/>
      <c r="Q169" s="4" t="s">
        <v>1226</v>
      </c>
      <c r="R169" s="4" t="s">
        <v>402</v>
      </c>
      <c r="S169" s="4" t="s">
        <v>500</v>
      </c>
      <c r="T169" s="4" t="s">
        <v>42</v>
      </c>
      <c r="U169" s="4" t="s">
        <v>501</v>
      </c>
      <c r="V169" s="4"/>
      <c r="W169" s="4"/>
      <c r="X169" s="4"/>
      <c r="Y169" s="4"/>
    </row>
    <row r="170" spans="1:25">
      <c r="A170" s="137" t="s">
        <v>1225</v>
      </c>
      <c r="B170" s="137" t="s">
        <v>141</v>
      </c>
      <c r="C170" s="4" t="s">
        <v>2</v>
      </c>
      <c r="D170" s="4" t="s">
        <v>149</v>
      </c>
      <c r="E170" s="4">
        <v>13.784815459887</v>
      </c>
      <c r="F170" s="4">
        <v>10.8245672347739</v>
      </c>
      <c r="G170" s="4" t="s">
        <v>99</v>
      </c>
      <c r="H170" s="4" t="s">
        <v>181</v>
      </c>
      <c r="I170" s="4">
        <v>13.633551602562299</v>
      </c>
      <c r="J170" s="4">
        <v>10.53</v>
      </c>
      <c r="K170" s="4" t="s">
        <v>1066</v>
      </c>
      <c r="L170" s="4" t="s">
        <v>1076</v>
      </c>
      <c r="M170" s="7">
        <v>29</v>
      </c>
      <c r="N170" s="7">
        <v>225</v>
      </c>
      <c r="O170" s="4"/>
      <c r="P170" s="4"/>
      <c r="Q170" s="4" t="s">
        <v>1226</v>
      </c>
      <c r="R170" s="4" t="s">
        <v>402</v>
      </c>
      <c r="S170" s="4" t="s">
        <v>500</v>
      </c>
      <c r="T170" s="4" t="s">
        <v>42</v>
      </c>
      <c r="U170" s="4" t="s">
        <v>501</v>
      </c>
      <c r="V170" s="4"/>
      <c r="W170" s="4"/>
      <c r="X170" s="4"/>
      <c r="Y170" s="4"/>
    </row>
    <row r="171" spans="1:25">
      <c r="A171" s="137" t="s">
        <v>1225</v>
      </c>
      <c r="B171" s="137" t="s">
        <v>141</v>
      </c>
      <c r="C171" s="4" t="s">
        <v>2</v>
      </c>
      <c r="D171" s="4" t="s">
        <v>149</v>
      </c>
      <c r="E171" s="4">
        <v>13.784815459887</v>
      </c>
      <c r="F171" s="4">
        <v>10.8245672347739</v>
      </c>
      <c r="G171" s="4" t="s">
        <v>99</v>
      </c>
      <c r="H171" s="4" t="s">
        <v>181</v>
      </c>
      <c r="I171" s="4">
        <v>13.633551602562299</v>
      </c>
      <c r="J171" s="4">
        <v>10.53</v>
      </c>
      <c r="K171" s="4" t="s">
        <v>1066</v>
      </c>
      <c r="L171" s="4" t="s">
        <v>1075</v>
      </c>
      <c r="M171" s="7">
        <v>20</v>
      </c>
      <c r="N171" s="7">
        <v>165</v>
      </c>
      <c r="O171" s="4"/>
      <c r="P171" s="4"/>
      <c r="Q171" s="4" t="s">
        <v>1226</v>
      </c>
      <c r="R171" s="4" t="s">
        <v>402</v>
      </c>
      <c r="S171" s="4" t="s">
        <v>500</v>
      </c>
      <c r="T171" s="4" t="s">
        <v>42</v>
      </c>
      <c r="U171" s="4" t="s">
        <v>501</v>
      </c>
      <c r="V171" s="4"/>
      <c r="W171" s="4"/>
      <c r="X171" s="4"/>
      <c r="Y171" s="4"/>
    </row>
    <row r="172" spans="1:25">
      <c r="A172" s="4" t="s">
        <v>409</v>
      </c>
      <c r="B172" s="4" t="s">
        <v>141</v>
      </c>
      <c r="C172" s="4" t="s">
        <v>2</v>
      </c>
      <c r="D172" s="4" t="s">
        <v>149</v>
      </c>
      <c r="E172" s="4" t="s">
        <v>431</v>
      </c>
      <c r="F172" s="4" t="s">
        <v>432</v>
      </c>
      <c r="G172" s="4" t="s">
        <v>35</v>
      </c>
      <c r="H172" s="4" t="s">
        <v>182</v>
      </c>
      <c r="I172" s="4" t="s">
        <v>435</v>
      </c>
      <c r="J172" s="4" t="s">
        <v>436</v>
      </c>
      <c r="K172" s="4" t="s">
        <v>1066</v>
      </c>
      <c r="L172" s="4" t="s">
        <v>1073</v>
      </c>
      <c r="M172" s="7">
        <v>405</v>
      </c>
      <c r="N172" s="7">
        <v>2025</v>
      </c>
      <c r="O172" s="4"/>
      <c r="P172" s="4"/>
      <c r="Q172" s="4" t="s">
        <v>1070</v>
      </c>
      <c r="R172" s="4" t="s">
        <v>402</v>
      </c>
      <c r="S172" s="4" t="s">
        <v>500</v>
      </c>
      <c r="T172" s="4" t="s">
        <v>42</v>
      </c>
      <c r="U172" s="4" t="s">
        <v>501</v>
      </c>
      <c r="V172" s="4"/>
      <c r="W172" s="4"/>
      <c r="X172" s="4"/>
      <c r="Y172" s="4"/>
    </row>
    <row r="173" spans="1:25">
      <c r="A173" s="4" t="s">
        <v>409</v>
      </c>
      <c r="B173" s="4" t="s">
        <v>141</v>
      </c>
      <c r="C173" s="4" t="s">
        <v>2</v>
      </c>
      <c r="D173" s="4" t="s">
        <v>149</v>
      </c>
      <c r="E173" s="4" t="s">
        <v>431</v>
      </c>
      <c r="F173" s="4" t="s">
        <v>432</v>
      </c>
      <c r="G173" s="4" t="s">
        <v>16</v>
      </c>
      <c r="H173" s="4" t="s">
        <v>185</v>
      </c>
      <c r="I173" s="4" t="s">
        <v>496</v>
      </c>
      <c r="J173" s="4" t="s">
        <v>497</v>
      </c>
      <c r="K173" s="4" t="s">
        <v>1066</v>
      </c>
      <c r="L173" s="4" t="s">
        <v>1077</v>
      </c>
      <c r="M173" s="7">
        <v>41</v>
      </c>
      <c r="N173" s="7">
        <v>205</v>
      </c>
      <c r="O173" s="4"/>
      <c r="P173" s="4"/>
      <c r="Q173" s="4" t="s">
        <v>1071</v>
      </c>
      <c r="R173" s="4" t="s">
        <v>6</v>
      </c>
      <c r="S173" s="4" t="s">
        <v>420</v>
      </c>
      <c r="T173" s="4" t="s">
        <v>143</v>
      </c>
      <c r="U173" s="4" t="s">
        <v>511</v>
      </c>
      <c r="V173" s="4"/>
      <c r="W173" s="4"/>
      <c r="X173" s="4"/>
      <c r="Y173" s="4"/>
    </row>
    <row r="174" spans="1:25">
      <c r="A174" s="4" t="s">
        <v>409</v>
      </c>
      <c r="B174" s="4" t="s">
        <v>141</v>
      </c>
      <c r="C174" s="4" t="s">
        <v>2</v>
      </c>
      <c r="D174" s="4" t="s">
        <v>149</v>
      </c>
      <c r="E174" s="4" t="s">
        <v>431</v>
      </c>
      <c r="F174" s="4" t="s">
        <v>432</v>
      </c>
      <c r="G174" s="4" t="s">
        <v>410</v>
      </c>
      <c r="H174" s="4" t="s">
        <v>186</v>
      </c>
      <c r="I174" s="4" t="s">
        <v>482</v>
      </c>
      <c r="J174" s="4" t="s">
        <v>483</v>
      </c>
      <c r="K174" s="4" t="s">
        <v>1066</v>
      </c>
      <c r="L174" s="4" t="s">
        <v>1077</v>
      </c>
      <c r="M174" s="7">
        <v>10</v>
      </c>
      <c r="N174" s="7">
        <v>30</v>
      </c>
      <c r="O174" s="4"/>
      <c r="P174" s="4"/>
      <c r="Q174" s="4" t="s">
        <v>1071</v>
      </c>
      <c r="R174" s="4" t="s">
        <v>6</v>
      </c>
      <c r="S174" s="4" t="s">
        <v>420</v>
      </c>
      <c r="T174" s="4" t="s">
        <v>141</v>
      </c>
      <c r="U174" s="4" t="s">
        <v>409</v>
      </c>
      <c r="V174" s="4"/>
      <c r="W174" s="4"/>
      <c r="X174" s="4"/>
      <c r="Y174" s="4"/>
    </row>
    <row r="175" spans="1:25">
      <c r="A175" s="4" t="s">
        <v>409</v>
      </c>
      <c r="B175" s="4" t="s">
        <v>141</v>
      </c>
      <c r="C175" s="4" t="s">
        <v>2</v>
      </c>
      <c r="D175" s="4" t="s">
        <v>149</v>
      </c>
      <c r="E175" s="4" t="s">
        <v>431</v>
      </c>
      <c r="F175" s="4" t="s">
        <v>432</v>
      </c>
      <c r="G175" s="4" t="s">
        <v>410</v>
      </c>
      <c r="H175" s="4" t="s">
        <v>186</v>
      </c>
      <c r="I175" s="4" t="s">
        <v>482</v>
      </c>
      <c r="J175" s="4" t="s">
        <v>483</v>
      </c>
      <c r="K175" s="4" t="s">
        <v>1066</v>
      </c>
      <c r="L175" s="4" t="s">
        <v>1075</v>
      </c>
      <c r="M175" s="7">
        <v>13</v>
      </c>
      <c r="N175" s="7">
        <v>43</v>
      </c>
      <c r="O175" s="4"/>
      <c r="P175" s="4"/>
      <c r="Q175" s="4" t="s">
        <v>1071</v>
      </c>
      <c r="R175" s="4" t="s">
        <v>6</v>
      </c>
      <c r="S175" s="4" t="s">
        <v>420</v>
      </c>
      <c r="T175" s="4" t="s">
        <v>141</v>
      </c>
      <c r="U175" s="4" t="s">
        <v>409</v>
      </c>
      <c r="V175" s="4"/>
      <c r="W175" s="4"/>
      <c r="X175" s="4"/>
      <c r="Y175" s="4"/>
    </row>
    <row r="176" spans="1:25">
      <c r="A176" s="4" t="s">
        <v>409</v>
      </c>
      <c r="B176" s="4" t="s">
        <v>141</v>
      </c>
      <c r="C176" s="4" t="s">
        <v>2</v>
      </c>
      <c r="D176" s="4" t="s">
        <v>149</v>
      </c>
      <c r="E176" s="4" t="s">
        <v>431</v>
      </c>
      <c r="F176" s="4" t="s">
        <v>432</v>
      </c>
      <c r="G176" s="4" t="s">
        <v>410</v>
      </c>
      <c r="H176" s="4" t="s">
        <v>186</v>
      </c>
      <c r="I176" s="4" t="s">
        <v>482</v>
      </c>
      <c r="J176" s="4" t="s">
        <v>483</v>
      </c>
      <c r="K176" s="4" t="s">
        <v>1066</v>
      </c>
      <c r="L176" s="4" t="s">
        <v>1072</v>
      </c>
      <c r="M176" s="7">
        <v>15</v>
      </c>
      <c r="N176" s="7">
        <v>49</v>
      </c>
      <c r="O176" s="4"/>
      <c r="P176" s="4"/>
      <c r="Q176" s="4" t="s">
        <v>1071</v>
      </c>
      <c r="R176" s="4" t="s">
        <v>6</v>
      </c>
      <c r="S176" s="4" t="s">
        <v>420</v>
      </c>
      <c r="T176" s="4" t="s">
        <v>141</v>
      </c>
      <c r="U176" s="4" t="s">
        <v>409</v>
      </c>
      <c r="V176" s="4"/>
      <c r="W176" s="4"/>
      <c r="X176" s="4"/>
      <c r="Y176" s="4"/>
    </row>
    <row r="177" spans="1:25">
      <c r="A177" s="137" t="s">
        <v>1225</v>
      </c>
      <c r="B177" s="137" t="s">
        <v>141</v>
      </c>
      <c r="C177" s="4" t="s">
        <v>2</v>
      </c>
      <c r="D177" s="4" t="s">
        <v>149</v>
      </c>
      <c r="E177" s="4">
        <v>13.784815459887</v>
      </c>
      <c r="F177" s="4">
        <v>10.8245672347739</v>
      </c>
      <c r="G177" s="4" t="s">
        <v>3</v>
      </c>
      <c r="H177" s="4" t="s">
        <v>184</v>
      </c>
      <c r="I177" s="4">
        <v>13.888</v>
      </c>
      <c r="J177" s="4">
        <v>10.883336078829901</v>
      </c>
      <c r="K177" s="4" t="s">
        <v>1066</v>
      </c>
      <c r="L177" s="4" t="s">
        <v>1073</v>
      </c>
      <c r="M177" s="7">
        <v>25</v>
      </c>
      <c r="N177" s="7">
        <v>153</v>
      </c>
      <c r="O177" s="4"/>
      <c r="P177" s="4"/>
      <c r="Q177" s="4" t="s">
        <v>1229</v>
      </c>
      <c r="R177" s="4" t="s">
        <v>402</v>
      </c>
      <c r="S177" s="4" t="s">
        <v>500</v>
      </c>
      <c r="T177" s="4" t="s">
        <v>42</v>
      </c>
      <c r="U177" s="4" t="s">
        <v>501</v>
      </c>
      <c r="V177" s="4"/>
      <c r="W177" s="4"/>
      <c r="X177" s="4"/>
      <c r="Y177" s="4"/>
    </row>
    <row r="178" spans="1:25">
      <c r="A178" s="137" t="s">
        <v>1225</v>
      </c>
      <c r="B178" s="137" t="s">
        <v>141</v>
      </c>
      <c r="C178" s="4" t="s">
        <v>2</v>
      </c>
      <c r="D178" s="4" t="s">
        <v>149</v>
      </c>
      <c r="E178" s="4">
        <v>13.784815459887</v>
      </c>
      <c r="F178" s="4">
        <v>10.8245672347739</v>
      </c>
      <c r="G178" s="4" t="s">
        <v>3</v>
      </c>
      <c r="H178" s="4" t="s">
        <v>184</v>
      </c>
      <c r="I178" s="4">
        <v>13.888</v>
      </c>
      <c r="J178" s="4">
        <v>10.883336078829901</v>
      </c>
      <c r="K178" s="4" t="s">
        <v>1066</v>
      </c>
      <c r="L178" s="4" t="s">
        <v>1072</v>
      </c>
      <c r="M178" s="7">
        <v>11</v>
      </c>
      <c r="N178" s="7">
        <v>63</v>
      </c>
      <c r="O178" s="4"/>
      <c r="P178" s="4"/>
      <c r="Q178" s="4" t="s">
        <v>1229</v>
      </c>
      <c r="R178" s="4" t="s">
        <v>6</v>
      </c>
      <c r="S178" s="4" t="s">
        <v>420</v>
      </c>
      <c r="T178" s="4" t="s">
        <v>143</v>
      </c>
      <c r="U178" s="4"/>
      <c r="V178" s="138" t="s">
        <v>405</v>
      </c>
      <c r="W178" s="138"/>
      <c r="X178" s="4"/>
      <c r="Y178" s="4"/>
    </row>
  </sheetData>
  <autoFilter ref="A1:Y178">
    <sortState ref="A2:Y178">
      <sortCondition ref="C1:C178"/>
    </sortState>
  </autoFilter>
  <mergeCells count="1">
    <mergeCell ref="AD1:AX1"/>
  </mergeCells>
  <conditionalFormatting sqref="A2:Y122">
    <cfRule type="expression" dxfId="39" priority="11">
      <formula>MOD(ROW(),2)=1</formula>
    </cfRule>
  </conditionalFormatting>
  <conditionalFormatting sqref="AD3:AX25">
    <cfRule type="expression" dxfId="38" priority="10">
      <formula>MOD(ROW(),2)=1</formula>
    </cfRule>
  </conditionalFormatting>
  <conditionalFormatting sqref="A123:Y132 A161:Y161 A134:Y134 A133:R133 V133:Y133 A136:Y147 A135:R135 V135:Y135 A152:Y159 A148:R151 V148:Y151 A167:Y170 A173:Y173 A171:R172 V171:Y172 A175:Y178 A174:R174 V174:Y174 A162:R166 V162:Y166">
    <cfRule type="expression" dxfId="37" priority="9">
      <formula>MOD(ROW(),2)=1</formula>
    </cfRule>
  </conditionalFormatting>
  <conditionalFormatting sqref="A160:Y160">
    <cfRule type="expression" dxfId="36" priority="8">
      <formula>MOD(ROW(),2)=1</formula>
    </cfRule>
  </conditionalFormatting>
  <conditionalFormatting sqref="S133:U133">
    <cfRule type="expression" dxfId="13" priority="7">
      <formula>MOD(ROW(),2)=1</formula>
    </cfRule>
  </conditionalFormatting>
  <conditionalFormatting sqref="S135:U135">
    <cfRule type="expression" dxfId="11" priority="6">
      <formula>MOD(ROW(),2)=1</formula>
    </cfRule>
  </conditionalFormatting>
  <conditionalFormatting sqref="S148:U151">
    <cfRule type="expression" dxfId="9" priority="5">
      <formula>MOD(ROW(),2)=1</formula>
    </cfRule>
  </conditionalFormatting>
  <conditionalFormatting sqref="S162:U165">
    <cfRule type="expression" dxfId="7" priority="4">
      <formula>MOD(ROW(),2)=1</formula>
    </cfRule>
  </conditionalFormatting>
  <conditionalFormatting sqref="S171:U172">
    <cfRule type="expression" dxfId="5" priority="3">
      <formula>MOD(ROW(),2)=1</formula>
    </cfRule>
  </conditionalFormatting>
  <conditionalFormatting sqref="S174:U174">
    <cfRule type="expression" dxfId="3" priority="2">
      <formula>MOD(ROW(),2)=1</formula>
    </cfRule>
  </conditionalFormatting>
  <conditionalFormatting sqref="S166:U166">
    <cfRule type="expression" dxfId="1" priority="1">
      <formula>MOD(ROW(),2)=1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R70"/>
  <sheetViews>
    <sheetView zoomScale="85" zoomScaleNormal="85" workbookViewId="0">
      <selection activeCell="F76" sqref="F76"/>
    </sheetView>
  </sheetViews>
  <sheetFormatPr defaultColWidth="11.42578125" defaultRowHeight="15"/>
  <cols>
    <col min="1" max="1" width="20.42578125" customWidth="1"/>
    <col min="2" max="2" width="23.42578125" customWidth="1"/>
    <col min="3" max="3" width="16.42578125" customWidth="1"/>
    <col min="6" max="6" width="15.28515625" customWidth="1"/>
    <col min="19" max="19" width="13.42578125" bestFit="1" customWidth="1"/>
  </cols>
  <sheetData>
    <row r="1" spans="1:18" ht="15" customHeight="1">
      <c r="A1" s="172" t="s">
        <v>944</v>
      </c>
      <c r="B1" s="173"/>
      <c r="C1" s="172" t="s">
        <v>943</v>
      </c>
      <c r="D1" s="173"/>
      <c r="E1" s="174" t="s">
        <v>942</v>
      </c>
      <c r="F1" s="175"/>
      <c r="G1" s="176" t="s">
        <v>941</v>
      </c>
      <c r="H1" s="180"/>
      <c r="I1" s="176" t="s">
        <v>940</v>
      </c>
      <c r="J1" s="173"/>
      <c r="K1" s="172" t="s">
        <v>939</v>
      </c>
      <c r="L1" s="173"/>
      <c r="M1" s="172" t="s">
        <v>938</v>
      </c>
      <c r="N1" s="173"/>
      <c r="O1" s="174" t="s">
        <v>937</v>
      </c>
      <c r="P1" s="175"/>
      <c r="Q1" s="176" t="s">
        <v>45</v>
      </c>
      <c r="R1" s="177"/>
    </row>
    <row r="2" spans="1:18" ht="15.75" customHeight="1">
      <c r="A2" s="53" t="s">
        <v>1056</v>
      </c>
      <c r="B2" s="53" t="s">
        <v>0</v>
      </c>
      <c r="C2" s="53" t="s">
        <v>48</v>
      </c>
      <c r="D2" s="53" t="s">
        <v>47</v>
      </c>
      <c r="E2" s="53" t="s">
        <v>48</v>
      </c>
      <c r="F2" s="53" t="s">
        <v>47</v>
      </c>
      <c r="G2" s="53" t="s">
        <v>48</v>
      </c>
      <c r="H2" s="53" t="s">
        <v>47</v>
      </c>
      <c r="I2" s="53" t="s">
        <v>48</v>
      </c>
      <c r="J2" s="53" t="s">
        <v>47</v>
      </c>
      <c r="K2" s="53" t="s">
        <v>48</v>
      </c>
      <c r="L2" s="53" t="s">
        <v>47</v>
      </c>
      <c r="M2" s="53" t="s">
        <v>48</v>
      </c>
      <c r="N2" s="53" t="s">
        <v>47</v>
      </c>
      <c r="O2" s="53" t="s">
        <v>48</v>
      </c>
      <c r="P2" s="53" t="s">
        <v>47</v>
      </c>
      <c r="Q2" s="53" t="s">
        <v>48</v>
      </c>
      <c r="R2" s="54" t="s">
        <v>47</v>
      </c>
    </row>
    <row r="3" spans="1:18">
      <c r="A3" t="s">
        <v>7</v>
      </c>
      <c r="B3" t="s">
        <v>9</v>
      </c>
      <c r="C3">
        <v>6</v>
      </c>
      <c r="D3">
        <v>8</v>
      </c>
      <c r="E3">
        <v>6</v>
      </c>
      <c r="F3">
        <v>10</v>
      </c>
      <c r="G3">
        <v>11</v>
      </c>
      <c r="H3">
        <v>12</v>
      </c>
      <c r="I3">
        <v>14</v>
      </c>
      <c r="J3">
        <v>10</v>
      </c>
      <c r="K3">
        <v>11</v>
      </c>
      <c r="L3">
        <v>8</v>
      </c>
      <c r="M3">
        <v>14</v>
      </c>
      <c r="N3">
        <v>13</v>
      </c>
      <c r="O3">
        <v>9</v>
      </c>
      <c r="P3">
        <v>9</v>
      </c>
      <c r="Q3">
        <v>5</v>
      </c>
      <c r="R3">
        <v>10</v>
      </c>
    </row>
    <row r="4" spans="1:18">
      <c r="A4" t="s">
        <v>7</v>
      </c>
      <c r="B4" t="s">
        <v>25</v>
      </c>
      <c r="C4">
        <v>5</v>
      </c>
      <c r="D4">
        <v>12</v>
      </c>
      <c r="E4">
        <v>16</v>
      </c>
      <c r="F4">
        <v>9</v>
      </c>
      <c r="G4">
        <v>20</v>
      </c>
      <c r="H4">
        <v>14</v>
      </c>
      <c r="I4">
        <v>17</v>
      </c>
      <c r="J4">
        <v>14</v>
      </c>
      <c r="K4">
        <v>25</v>
      </c>
      <c r="L4">
        <v>16</v>
      </c>
      <c r="M4">
        <v>21</v>
      </c>
      <c r="N4">
        <v>15</v>
      </c>
      <c r="O4">
        <v>22</v>
      </c>
      <c r="P4">
        <v>32</v>
      </c>
      <c r="Q4">
        <v>1</v>
      </c>
      <c r="R4">
        <v>7</v>
      </c>
    </row>
    <row r="5" spans="1:18">
      <c r="A5" t="s">
        <v>7</v>
      </c>
      <c r="B5" t="s">
        <v>135</v>
      </c>
      <c r="C5">
        <v>2</v>
      </c>
      <c r="D5">
        <v>8</v>
      </c>
      <c r="E5">
        <v>9</v>
      </c>
      <c r="F5">
        <v>7</v>
      </c>
      <c r="G5">
        <v>13</v>
      </c>
      <c r="H5">
        <v>6</v>
      </c>
      <c r="I5">
        <v>14</v>
      </c>
      <c r="J5">
        <v>11</v>
      </c>
      <c r="K5">
        <v>4</v>
      </c>
      <c r="L5">
        <v>12</v>
      </c>
      <c r="M5">
        <v>11</v>
      </c>
      <c r="N5">
        <v>4</v>
      </c>
      <c r="O5">
        <v>11</v>
      </c>
      <c r="P5">
        <v>21</v>
      </c>
      <c r="Q5">
        <v>11</v>
      </c>
      <c r="R5">
        <v>5</v>
      </c>
    </row>
    <row r="6" spans="1:18">
      <c r="A6" t="s">
        <v>7</v>
      </c>
      <c r="B6" t="s">
        <v>19</v>
      </c>
      <c r="C6">
        <v>0</v>
      </c>
      <c r="D6">
        <v>3</v>
      </c>
      <c r="E6">
        <v>12</v>
      </c>
      <c r="F6">
        <v>17</v>
      </c>
      <c r="G6">
        <v>19</v>
      </c>
      <c r="H6">
        <v>24</v>
      </c>
      <c r="I6">
        <v>21</v>
      </c>
      <c r="J6">
        <v>19</v>
      </c>
      <c r="K6">
        <v>22</v>
      </c>
      <c r="L6">
        <v>19</v>
      </c>
      <c r="M6">
        <v>20</v>
      </c>
      <c r="N6">
        <v>24</v>
      </c>
      <c r="O6">
        <v>21</v>
      </c>
      <c r="P6">
        <v>19</v>
      </c>
      <c r="Q6">
        <v>7</v>
      </c>
      <c r="R6">
        <v>4</v>
      </c>
    </row>
    <row r="7" spans="1:18">
      <c r="A7" t="s">
        <v>7</v>
      </c>
      <c r="B7" t="s">
        <v>21</v>
      </c>
      <c r="C7">
        <v>4</v>
      </c>
      <c r="D7">
        <v>5</v>
      </c>
      <c r="E7">
        <v>7</v>
      </c>
      <c r="F7">
        <v>11</v>
      </c>
      <c r="G7">
        <v>11</v>
      </c>
      <c r="H7">
        <v>12</v>
      </c>
      <c r="I7">
        <v>15</v>
      </c>
      <c r="J7">
        <v>11</v>
      </c>
      <c r="K7">
        <v>11</v>
      </c>
      <c r="L7">
        <v>11</v>
      </c>
      <c r="M7">
        <v>12</v>
      </c>
      <c r="N7">
        <v>16</v>
      </c>
      <c r="O7">
        <v>18</v>
      </c>
      <c r="P7">
        <v>17</v>
      </c>
      <c r="Q7">
        <v>6</v>
      </c>
      <c r="R7">
        <v>8</v>
      </c>
    </row>
    <row r="8" spans="1:18">
      <c r="A8" t="s">
        <v>7</v>
      </c>
      <c r="B8" s="4" t="s">
        <v>15</v>
      </c>
      <c r="C8" s="4">
        <v>10</v>
      </c>
      <c r="D8" s="4">
        <v>6</v>
      </c>
      <c r="E8" s="4">
        <v>9</v>
      </c>
      <c r="F8" s="4">
        <v>8</v>
      </c>
      <c r="G8" s="4">
        <v>8</v>
      </c>
      <c r="H8" s="4">
        <v>7</v>
      </c>
      <c r="I8" s="4">
        <v>9</v>
      </c>
      <c r="J8" s="4">
        <v>10</v>
      </c>
      <c r="K8" s="4">
        <v>8</v>
      </c>
      <c r="L8" s="4">
        <v>8</v>
      </c>
      <c r="M8" s="4">
        <v>16</v>
      </c>
      <c r="N8" s="4">
        <v>16</v>
      </c>
      <c r="O8" s="4">
        <v>9</v>
      </c>
      <c r="P8" s="4">
        <v>8</v>
      </c>
      <c r="Q8" s="4">
        <v>9</v>
      </c>
      <c r="R8" s="4">
        <v>2</v>
      </c>
    </row>
    <row r="9" spans="1:18">
      <c r="A9" t="s">
        <v>7</v>
      </c>
      <c r="B9" t="s">
        <v>18</v>
      </c>
      <c r="C9">
        <v>8</v>
      </c>
      <c r="D9">
        <v>6</v>
      </c>
      <c r="E9">
        <v>7</v>
      </c>
      <c r="F9">
        <v>10</v>
      </c>
      <c r="G9">
        <v>12</v>
      </c>
      <c r="H9">
        <v>12</v>
      </c>
      <c r="I9">
        <v>12</v>
      </c>
      <c r="J9">
        <v>14</v>
      </c>
      <c r="K9">
        <v>11</v>
      </c>
      <c r="L9">
        <v>8</v>
      </c>
      <c r="M9">
        <v>8</v>
      </c>
      <c r="N9">
        <v>7</v>
      </c>
      <c r="O9">
        <v>17</v>
      </c>
      <c r="P9">
        <v>15</v>
      </c>
      <c r="Q9">
        <v>5</v>
      </c>
      <c r="R9">
        <v>7</v>
      </c>
    </row>
    <row r="10" spans="1:18">
      <c r="A10" s="29" t="s">
        <v>11</v>
      </c>
      <c r="B10" s="4" t="s">
        <v>34</v>
      </c>
      <c r="C10" s="4">
        <v>4</v>
      </c>
      <c r="D10" s="4">
        <v>3</v>
      </c>
      <c r="E10" s="4">
        <v>11</v>
      </c>
      <c r="F10" s="4">
        <v>4</v>
      </c>
      <c r="G10" s="4">
        <v>7</v>
      </c>
      <c r="H10" s="4">
        <v>14</v>
      </c>
      <c r="I10" s="4">
        <v>10</v>
      </c>
      <c r="J10" s="4">
        <v>22</v>
      </c>
      <c r="K10" s="4">
        <v>5</v>
      </c>
      <c r="L10" s="4">
        <v>4</v>
      </c>
      <c r="M10" s="4">
        <v>4</v>
      </c>
      <c r="N10" s="4">
        <v>8</v>
      </c>
      <c r="O10" s="4">
        <v>14</v>
      </c>
      <c r="P10" s="4">
        <v>20</v>
      </c>
      <c r="Q10" s="4">
        <v>2</v>
      </c>
      <c r="R10" s="4">
        <v>2</v>
      </c>
    </row>
    <row r="11" spans="1:18">
      <c r="A11" s="29" t="s">
        <v>7</v>
      </c>
      <c r="B11" s="4" t="s">
        <v>134</v>
      </c>
      <c r="C11" s="4">
        <v>5</v>
      </c>
      <c r="D11" s="4">
        <v>3</v>
      </c>
      <c r="E11" s="4">
        <v>8</v>
      </c>
      <c r="F11" s="4">
        <v>7</v>
      </c>
      <c r="G11" s="4">
        <v>13</v>
      </c>
      <c r="H11" s="4">
        <v>14</v>
      </c>
      <c r="I11" s="4">
        <v>17</v>
      </c>
      <c r="J11" s="4">
        <v>20</v>
      </c>
      <c r="K11" s="4">
        <v>11</v>
      </c>
      <c r="L11" s="4">
        <v>12</v>
      </c>
      <c r="M11" s="4">
        <v>10</v>
      </c>
      <c r="N11" s="4">
        <v>16</v>
      </c>
      <c r="O11" s="4">
        <v>17</v>
      </c>
      <c r="P11" s="4">
        <v>10</v>
      </c>
      <c r="Q11" s="4">
        <v>4</v>
      </c>
      <c r="R11" s="4">
        <v>5</v>
      </c>
    </row>
    <row r="12" spans="1:18">
      <c r="A12" s="29" t="s">
        <v>11</v>
      </c>
      <c r="B12" s="4" t="s">
        <v>26</v>
      </c>
      <c r="C12" s="4">
        <v>1</v>
      </c>
      <c r="D12" s="4">
        <v>0</v>
      </c>
      <c r="E12" s="4">
        <v>1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6</v>
      </c>
      <c r="L12" s="4">
        <v>1</v>
      </c>
      <c r="M12" s="4">
        <v>4</v>
      </c>
      <c r="N12" s="4">
        <v>3</v>
      </c>
      <c r="O12" s="4">
        <v>6</v>
      </c>
      <c r="P12" s="4">
        <v>5</v>
      </c>
      <c r="Q12" s="4">
        <v>1</v>
      </c>
      <c r="R12" s="4">
        <v>2</v>
      </c>
    </row>
    <row r="13" spans="1:18">
      <c r="A13" s="29" t="s">
        <v>11</v>
      </c>
      <c r="B13" s="4" t="s">
        <v>12</v>
      </c>
      <c r="C13" s="4">
        <v>2</v>
      </c>
      <c r="D13" s="4">
        <v>5</v>
      </c>
      <c r="E13" s="4">
        <v>8</v>
      </c>
      <c r="F13" s="4">
        <v>9</v>
      </c>
      <c r="G13" s="4">
        <v>11</v>
      </c>
      <c r="H13" s="4">
        <v>5</v>
      </c>
      <c r="I13" s="4">
        <v>11</v>
      </c>
      <c r="J13" s="4">
        <v>4</v>
      </c>
      <c r="K13" s="4">
        <v>12</v>
      </c>
      <c r="L13" s="4">
        <v>8</v>
      </c>
      <c r="M13" s="4">
        <v>15</v>
      </c>
      <c r="N13" s="4">
        <v>9</v>
      </c>
      <c r="O13" s="4">
        <v>16</v>
      </c>
      <c r="P13" s="4">
        <v>8</v>
      </c>
      <c r="Q13" s="4">
        <v>2</v>
      </c>
      <c r="R13" s="4">
        <v>8</v>
      </c>
    </row>
    <row r="14" spans="1:18">
      <c r="A14" s="29" t="s">
        <v>11</v>
      </c>
      <c r="B14" s="4" t="s">
        <v>24</v>
      </c>
      <c r="C14" s="4">
        <v>6</v>
      </c>
      <c r="D14" s="4">
        <v>7</v>
      </c>
      <c r="E14" s="4">
        <v>12</v>
      </c>
      <c r="F14" s="4">
        <v>10</v>
      </c>
      <c r="G14" s="4">
        <v>14</v>
      </c>
      <c r="H14" s="4">
        <v>11</v>
      </c>
      <c r="I14" s="4">
        <v>12</v>
      </c>
      <c r="J14" s="4">
        <v>13</v>
      </c>
      <c r="K14" s="4">
        <v>7</v>
      </c>
      <c r="L14" s="4">
        <v>8</v>
      </c>
      <c r="M14" s="4">
        <v>2</v>
      </c>
      <c r="N14" s="4">
        <v>2</v>
      </c>
      <c r="O14" s="4">
        <v>17</v>
      </c>
      <c r="P14" s="4">
        <v>22</v>
      </c>
      <c r="Q14" s="4">
        <v>1</v>
      </c>
      <c r="R14" s="4">
        <v>7</v>
      </c>
    </row>
    <row r="15" spans="1:18">
      <c r="A15" s="29" t="s">
        <v>11</v>
      </c>
      <c r="B15" s="4" t="s">
        <v>23</v>
      </c>
      <c r="C15" s="4">
        <v>7</v>
      </c>
      <c r="D15" s="4">
        <v>3</v>
      </c>
      <c r="E15" s="4">
        <v>2</v>
      </c>
      <c r="F15" s="4">
        <v>4</v>
      </c>
      <c r="G15" s="4">
        <v>9</v>
      </c>
      <c r="H15" s="4">
        <v>13</v>
      </c>
      <c r="I15" s="4">
        <v>0</v>
      </c>
      <c r="J15" s="4">
        <v>5</v>
      </c>
      <c r="K15" s="4">
        <v>6</v>
      </c>
      <c r="L15" s="4">
        <v>9</v>
      </c>
      <c r="M15" s="4">
        <v>12</v>
      </c>
      <c r="N15" s="4">
        <v>10</v>
      </c>
      <c r="O15" s="4">
        <v>6</v>
      </c>
      <c r="P15" s="4">
        <v>14</v>
      </c>
      <c r="Q15" s="4">
        <v>3</v>
      </c>
      <c r="R15" s="4">
        <v>4</v>
      </c>
    </row>
    <row r="16" spans="1:18">
      <c r="A16" s="29" t="s">
        <v>11</v>
      </c>
      <c r="B16" s="4" t="s">
        <v>133</v>
      </c>
      <c r="C16" s="4">
        <v>8</v>
      </c>
      <c r="D16" s="4">
        <v>5</v>
      </c>
      <c r="E16" s="4">
        <v>2</v>
      </c>
      <c r="F16" s="4">
        <v>5</v>
      </c>
      <c r="G16" s="4">
        <v>7</v>
      </c>
      <c r="H16" s="4">
        <v>7</v>
      </c>
      <c r="I16" s="4">
        <v>10</v>
      </c>
      <c r="J16" s="4">
        <v>12</v>
      </c>
      <c r="K16" s="4">
        <v>15</v>
      </c>
      <c r="L16" s="4">
        <v>14</v>
      </c>
      <c r="M16" s="4">
        <v>13</v>
      </c>
      <c r="N16" s="4">
        <v>15</v>
      </c>
      <c r="O16" s="4">
        <v>16</v>
      </c>
      <c r="P16" s="4">
        <v>18</v>
      </c>
      <c r="Q16" s="4">
        <v>1</v>
      </c>
      <c r="R16" s="4">
        <v>3</v>
      </c>
    </row>
    <row r="17" spans="1:18">
      <c r="A17" s="29" t="s">
        <v>4</v>
      </c>
      <c r="B17" s="4" t="s">
        <v>5</v>
      </c>
      <c r="C17" s="4">
        <v>6</v>
      </c>
      <c r="D17" s="4">
        <v>9</v>
      </c>
      <c r="E17" s="4">
        <v>6</v>
      </c>
      <c r="F17" s="4">
        <v>5</v>
      </c>
      <c r="G17" s="4">
        <v>8</v>
      </c>
      <c r="H17" s="4">
        <v>8</v>
      </c>
      <c r="I17" s="4">
        <v>12</v>
      </c>
      <c r="J17" s="4">
        <v>11</v>
      </c>
      <c r="K17" s="4">
        <v>3</v>
      </c>
      <c r="L17" s="4">
        <v>4</v>
      </c>
      <c r="M17" s="4">
        <v>3</v>
      </c>
      <c r="N17" s="4">
        <v>6</v>
      </c>
      <c r="O17" s="4">
        <v>16</v>
      </c>
      <c r="P17" s="4">
        <v>14</v>
      </c>
      <c r="Q17" s="4">
        <v>2</v>
      </c>
      <c r="R17" s="4">
        <v>1</v>
      </c>
    </row>
    <row r="18" spans="1:18">
      <c r="A18" s="29" t="s">
        <v>4</v>
      </c>
      <c r="B18" s="4" t="s">
        <v>38</v>
      </c>
      <c r="C18" s="4">
        <v>3</v>
      </c>
      <c r="D18" s="4">
        <v>3</v>
      </c>
      <c r="E18" s="4">
        <v>2</v>
      </c>
      <c r="F18" s="4">
        <v>3</v>
      </c>
      <c r="G18" s="4">
        <v>4</v>
      </c>
      <c r="H18" s="4">
        <v>2</v>
      </c>
      <c r="I18" s="4">
        <v>5</v>
      </c>
      <c r="J18" s="4">
        <v>2</v>
      </c>
      <c r="K18" s="4">
        <v>5</v>
      </c>
      <c r="L18" s="4">
        <v>1</v>
      </c>
      <c r="M18" s="4">
        <v>4</v>
      </c>
      <c r="N18" s="4">
        <v>2</v>
      </c>
      <c r="O18" s="4">
        <v>8</v>
      </c>
      <c r="P18" s="4">
        <v>6</v>
      </c>
      <c r="Q18" s="4">
        <v>3</v>
      </c>
      <c r="R18" s="4">
        <v>1</v>
      </c>
    </row>
    <row r="19" spans="1:18">
      <c r="A19" s="29" t="s">
        <v>4</v>
      </c>
      <c r="B19" s="4" t="s">
        <v>138</v>
      </c>
      <c r="C19" s="4">
        <v>0</v>
      </c>
      <c r="D19" s="4">
        <v>0</v>
      </c>
      <c r="E19" s="4">
        <v>0</v>
      </c>
      <c r="F19" s="4">
        <v>1</v>
      </c>
      <c r="G19" s="4">
        <v>1</v>
      </c>
      <c r="H19" s="4">
        <v>7</v>
      </c>
      <c r="I19" s="4">
        <v>4</v>
      </c>
      <c r="J19" s="4">
        <v>3</v>
      </c>
      <c r="K19" s="4">
        <v>0</v>
      </c>
      <c r="L19" s="4">
        <v>6</v>
      </c>
      <c r="M19" s="4">
        <v>6</v>
      </c>
      <c r="N19" s="4">
        <v>3</v>
      </c>
      <c r="O19" s="4">
        <v>4</v>
      </c>
      <c r="P19" s="4">
        <v>4</v>
      </c>
      <c r="Q19" s="4">
        <v>5</v>
      </c>
      <c r="R19" s="4">
        <v>0</v>
      </c>
    </row>
    <row r="20" spans="1:18">
      <c r="A20" s="29" t="s">
        <v>27</v>
      </c>
      <c r="B20" s="4" t="s">
        <v>28</v>
      </c>
      <c r="C20" s="4">
        <v>6</v>
      </c>
      <c r="D20" s="4">
        <v>5</v>
      </c>
      <c r="E20" s="4">
        <v>11</v>
      </c>
      <c r="F20" s="4">
        <v>11</v>
      </c>
      <c r="G20" s="4">
        <v>9</v>
      </c>
      <c r="H20" s="4">
        <v>18</v>
      </c>
      <c r="I20" s="4">
        <v>14</v>
      </c>
      <c r="J20" s="4">
        <v>13</v>
      </c>
      <c r="K20" s="4">
        <v>4</v>
      </c>
      <c r="L20" s="4">
        <v>7</v>
      </c>
      <c r="M20" s="4">
        <v>9</v>
      </c>
      <c r="N20" s="4">
        <v>9</v>
      </c>
      <c r="O20" s="4">
        <v>18</v>
      </c>
      <c r="P20" s="4">
        <v>14</v>
      </c>
      <c r="Q20" s="4">
        <v>0</v>
      </c>
      <c r="R20" s="4">
        <v>1</v>
      </c>
    </row>
    <row r="21" spans="1:18">
      <c r="A21" s="29" t="s">
        <v>27</v>
      </c>
      <c r="B21" s="4" t="s">
        <v>33</v>
      </c>
      <c r="C21" s="4">
        <v>7</v>
      </c>
      <c r="D21" s="4">
        <v>5</v>
      </c>
      <c r="E21" s="4">
        <v>13</v>
      </c>
      <c r="F21" s="4">
        <v>12</v>
      </c>
      <c r="G21" s="4">
        <v>11</v>
      </c>
      <c r="H21" s="4">
        <v>19</v>
      </c>
      <c r="I21" s="4">
        <v>17</v>
      </c>
      <c r="J21" s="4">
        <v>18</v>
      </c>
      <c r="K21" s="4">
        <v>6</v>
      </c>
      <c r="L21" s="4">
        <v>7</v>
      </c>
      <c r="M21" s="4">
        <v>11</v>
      </c>
      <c r="N21" s="4">
        <v>13</v>
      </c>
      <c r="O21" s="4">
        <v>20</v>
      </c>
      <c r="P21" s="4">
        <v>17</v>
      </c>
      <c r="Q21" s="4">
        <v>1</v>
      </c>
      <c r="R21" s="4">
        <v>2</v>
      </c>
    </row>
    <row r="22" spans="1:18">
      <c r="A22" s="29" t="s">
        <v>27</v>
      </c>
      <c r="B22" s="4" t="s">
        <v>139</v>
      </c>
      <c r="C22" s="4">
        <v>9</v>
      </c>
      <c r="D22" s="4">
        <v>7</v>
      </c>
      <c r="E22" s="4">
        <v>9</v>
      </c>
      <c r="F22" s="4">
        <v>12</v>
      </c>
      <c r="G22" s="4">
        <v>11</v>
      </c>
      <c r="H22" s="4">
        <v>10</v>
      </c>
      <c r="I22" s="4">
        <v>19</v>
      </c>
      <c r="J22" s="4">
        <v>13</v>
      </c>
      <c r="K22" s="4">
        <v>12</v>
      </c>
      <c r="L22" s="4">
        <v>11</v>
      </c>
      <c r="M22" s="4">
        <v>4</v>
      </c>
      <c r="N22" s="4">
        <v>12</v>
      </c>
      <c r="O22" s="4">
        <v>19</v>
      </c>
      <c r="P22" s="4">
        <v>19</v>
      </c>
      <c r="Q22" s="4">
        <v>7</v>
      </c>
      <c r="R22" s="4">
        <v>10</v>
      </c>
    </row>
    <row r="23" spans="1:18">
      <c r="A23" s="29" t="s">
        <v>11</v>
      </c>
      <c r="B23" s="4" t="s">
        <v>30</v>
      </c>
      <c r="C23" s="4">
        <v>9</v>
      </c>
      <c r="D23" s="4">
        <v>8</v>
      </c>
      <c r="E23" s="4">
        <v>6</v>
      </c>
      <c r="F23" s="4">
        <v>3</v>
      </c>
      <c r="G23" s="4">
        <v>18</v>
      </c>
      <c r="H23" s="4">
        <v>18</v>
      </c>
      <c r="I23" s="4">
        <v>2</v>
      </c>
      <c r="J23" s="4">
        <v>2</v>
      </c>
      <c r="K23" s="4">
        <v>12</v>
      </c>
      <c r="L23" s="4">
        <v>16</v>
      </c>
      <c r="M23" s="4">
        <v>9</v>
      </c>
      <c r="N23" s="4">
        <v>14</v>
      </c>
      <c r="O23" s="4">
        <v>0</v>
      </c>
      <c r="P23" s="4">
        <v>0</v>
      </c>
      <c r="Q23" s="4">
        <v>0</v>
      </c>
      <c r="R23" s="4">
        <v>0</v>
      </c>
    </row>
    <row r="24" spans="1:18">
      <c r="A24" s="29" t="s">
        <v>4</v>
      </c>
      <c r="B24" s="4" t="s">
        <v>90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3</v>
      </c>
      <c r="I24" s="4">
        <v>2</v>
      </c>
      <c r="J24" s="4">
        <v>7</v>
      </c>
      <c r="K24" s="4">
        <v>3</v>
      </c>
      <c r="L24" s="4">
        <v>4</v>
      </c>
      <c r="M24" s="4">
        <v>3</v>
      </c>
      <c r="N24" s="4">
        <v>3</v>
      </c>
      <c r="O24" s="4">
        <v>4</v>
      </c>
      <c r="P24" s="4">
        <v>6</v>
      </c>
      <c r="Q24" s="4">
        <v>0</v>
      </c>
      <c r="R24" s="4">
        <v>0</v>
      </c>
    </row>
    <row r="25" spans="1:18">
      <c r="A25" s="29" t="s">
        <v>4</v>
      </c>
      <c r="B25" s="4" t="s">
        <v>22</v>
      </c>
      <c r="C25" s="4">
        <v>0</v>
      </c>
      <c r="D25" s="4">
        <v>1</v>
      </c>
      <c r="E25" s="4">
        <v>1</v>
      </c>
      <c r="F25" s="4">
        <v>1</v>
      </c>
      <c r="G25" s="4">
        <v>2</v>
      </c>
      <c r="H25" s="4">
        <v>3</v>
      </c>
      <c r="I25" s="4">
        <v>2</v>
      </c>
      <c r="J25" s="4">
        <v>1</v>
      </c>
      <c r="K25" s="4">
        <v>2</v>
      </c>
      <c r="L25" s="4">
        <v>4</v>
      </c>
      <c r="M25" s="4">
        <v>3</v>
      </c>
      <c r="N25" s="4">
        <v>8</v>
      </c>
      <c r="O25" s="4">
        <v>8</v>
      </c>
      <c r="P25" s="4">
        <v>2</v>
      </c>
      <c r="Q25" s="4">
        <v>0</v>
      </c>
      <c r="R25" s="4">
        <v>0</v>
      </c>
    </row>
    <row r="26" spans="1:18">
      <c r="A26" s="29" t="s">
        <v>7</v>
      </c>
      <c r="B26" s="4" t="s">
        <v>32</v>
      </c>
      <c r="C26" s="4">
        <v>8</v>
      </c>
      <c r="D26" s="4">
        <v>8</v>
      </c>
      <c r="E26" s="4">
        <v>11</v>
      </c>
      <c r="F26" s="4">
        <v>14</v>
      </c>
      <c r="G26" s="4">
        <v>10</v>
      </c>
      <c r="H26" s="4">
        <v>14</v>
      </c>
      <c r="I26" s="4">
        <v>13</v>
      </c>
      <c r="J26" s="4">
        <v>16</v>
      </c>
      <c r="K26" s="4">
        <v>8</v>
      </c>
      <c r="L26" s="4">
        <v>9</v>
      </c>
      <c r="M26" s="4">
        <v>4</v>
      </c>
      <c r="N26" s="4">
        <v>15</v>
      </c>
      <c r="O26" s="4">
        <v>17</v>
      </c>
      <c r="P26" s="4">
        <v>11</v>
      </c>
      <c r="Q26" s="4">
        <v>11</v>
      </c>
      <c r="R26" s="4">
        <v>3</v>
      </c>
    </row>
    <row r="27" spans="1:18">
      <c r="A27" s="29" t="s">
        <v>2</v>
      </c>
      <c r="B27" s="4" t="s">
        <v>99</v>
      </c>
      <c r="C27" s="4">
        <v>6</v>
      </c>
      <c r="D27" s="4">
        <v>10</v>
      </c>
      <c r="E27" s="4">
        <v>11</v>
      </c>
      <c r="F27" s="4">
        <v>12</v>
      </c>
      <c r="G27" s="4">
        <v>6</v>
      </c>
      <c r="H27" s="4">
        <v>6</v>
      </c>
      <c r="I27" s="4">
        <v>7</v>
      </c>
      <c r="J27" s="4">
        <v>4</v>
      </c>
      <c r="K27" s="4">
        <v>3</v>
      </c>
      <c r="L27" s="4">
        <v>2</v>
      </c>
      <c r="M27" s="4">
        <v>2</v>
      </c>
      <c r="N27" s="4">
        <v>1</v>
      </c>
      <c r="O27" s="4">
        <v>11</v>
      </c>
      <c r="P27" s="4">
        <v>9</v>
      </c>
      <c r="Q27" s="4">
        <v>0</v>
      </c>
      <c r="R27" s="4">
        <v>0</v>
      </c>
    </row>
    <row r="28" spans="1:18">
      <c r="A28" s="29" t="s">
        <v>2</v>
      </c>
      <c r="B28" s="4" t="s">
        <v>140</v>
      </c>
      <c r="C28" s="4">
        <v>0</v>
      </c>
      <c r="D28" s="4">
        <v>0</v>
      </c>
      <c r="E28" s="4">
        <v>7</v>
      </c>
      <c r="F28" s="4">
        <v>17</v>
      </c>
      <c r="G28" s="4">
        <v>12</v>
      </c>
      <c r="H28" s="4">
        <v>16</v>
      </c>
      <c r="I28" s="4">
        <v>18</v>
      </c>
      <c r="J28" s="4">
        <v>14</v>
      </c>
      <c r="K28" s="4">
        <v>12</v>
      </c>
      <c r="L28" s="4">
        <v>19</v>
      </c>
      <c r="M28" s="4">
        <v>13</v>
      </c>
      <c r="N28" s="4">
        <v>17</v>
      </c>
      <c r="O28" s="4">
        <v>10</v>
      </c>
      <c r="P28" s="4">
        <v>19</v>
      </c>
      <c r="Q28" s="4">
        <v>0</v>
      </c>
      <c r="R28" s="4">
        <v>0</v>
      </c>
    </row>
    <row r="29" spans="1:18">
      <c r="A29" s="29" t="s">
        <v>2</v>
      </c>
      <c r="B29" s="4" t="s">
        <v>3</v>
      </c>
      <c r="C29" s="4">
        <v>2</v>
      </c>
      <c r="D29" s="4">
        <v>3</v>
      </c>
      <c r="E29" s="4">
        <v>6</v>
      </c>
      <c r="F29" s="4">
        <v>4</v>
      </c>
      <c r="G29" s="4">
        <v>10</v>
      </c>
      <c r="H29" s="4">
        <v>8</v>
      </c>
      <c r="I29" s="4">
        <v>25</v>
      </c>
      <c r="J29" s="4">
        <v>20</v>
      </c>
      <c r="K29" s="4">
        <v>19</v>
      </c>
      <c r="L29" s="4">
        <v>19</v>
      </c>
      <c r="M29" s="4">
        <v>13</v>
      </c>
      <c r="N29" s="4">
        <v>9</v>
      </c>
      <c r="O29" s="4">
        <v>13</v>
      </c>
      <c r="P29" s="4">
        <v>18</v>
      </c>
      <c r="Q29" s="4">
        <v>3</v>
      </c>
      <c r="R29" s="4">
        <v>2</v>
      </c>
    </row>
    <row r="30" spans="1:18">
      <c r="A30" s="29" t="s">
        <v>2</v>
      </c>
      <c r="B30" s="4" t="s">
        <v>16</v>
      </c>
      <c r="C30" s="4">
        <v>4</v>
      </c>
      <c r="D30" s="4">
        <v>3</v>
      </c>
      <c r="E30" s="4">
        <v>11</v>
      </c>
      <c r="F30" s="4">
        <v>11</v>
      </c>
      <c r="G30" s="4">
        <v>12</v>
      </c>
      <c r="H30" s="4">
        <v>12</v>
      </c>
      <c r="I30" s="4">
        <v>21</v>
      </c>
      <c r="J30" s="4">
        <v>14</v>
      </c>
      <c r="K30" s="4">
        <v>16</v>
      </c>
      <c r="L30" s="4">
        <v>12</v>
      </c>
      <c r="M30" s="4">
        <v>12</v>
      </c>
      <c r="N30" s="4">
        <v>16</v>
      </c>
      <c r="O30" s="4">
        <v>23</v>
      </c>
      <c r="P30" s="4">
        <v>25</v>
      </c>
      <c r="Q30" s="4">
        <v>3</v>
      </c>
      <c r="R30" s="4">
        <v>3</v>
      </c>
    </row>
    <row r="31" spans="1:18">
      <c r="A31" s="29" t="s">
        <v>2</v>
      </c>
      <c r="B31" s="4" t="s">
        <v>35</v>
      </c>
      <c r="C31" s="4">
        <v>1</v>
      </c>
      <c r="D31" s="4">
        <v>7</v>
      </c>
      <c r="E31" s="4">
        <v>5</v>
      </c>
      <c r="F31" s="4">
        <v>4</v>
      </c>
      <c r="G31" s="4">
        <v>6</v>
      </c>
      <c r="H31" s="4">
        <v>10</v>
      </c>
      <c r="I31" s="4">
        <v>3</v>
      </c>
      <c r="J31" s="4">
        <v>6</v>
      </c>
      <c r="K31" s="4">
        <v>1</v>
      </c>
      <c r="L31" s="4">
        <v>3</v>
      </c>
      <c r="M31" s="4">
        <v>3</v>
      </c>
      <c r="N31" s="4">
        <v>4</v>
      </c>
      <c r="O31" s="4">
        <v>12</v>
      </c>
      <c r="P31" s="4">
        <v>12</v>
      </c>
      <c r="Q31" s="4">
        <v>4</v>
      </c>
      <c r="R31" s="4">
        <v>4</v>
      </c>
    </row>
    <row r="32" spans="1:18">
      <c r="A32" s="29" t="s">
        <v>2</v>
      </c>
      <c r="B32" s="4" t="s">
        <v>36</v>
      </c>
      <c r="C32" s="4">
        <v>0</v>
      </c>
      <c r="D32" s="4">
        <v>3</v>
      </c>
      <c r="E32" s="4">
        <v>6</v>
      </c>
      <c r="F32" s="4">
        <v>7</v>
      </c>
      <c r="G32" s="4">
        <v>8</v>
      </c>
      <c r="H32" s="4">
        <v>10</v>
      </c>
      <c r="I32" s="4">
        <v>6</v>
      </c>
      <c r="J32" s="4">
        <v>18</v>
      </c>
      <c r="K32" s="4">
        <v>9</v>
      </c>
      <c r="L32" s="4">
        <v>17</v>
      </c>
      <c r="M32" s="4">
        <v>7</v>
      </c>
      <c r="N32" s="4">
        <v>12</v>
      </c>
      <c r="O32" s="4">
        <v>6</v>
      </c>
      <c r="P32" s="4">
        <v>9</v>
      </c>
      <c r="Q32" s="4">
        <v>8</v>
      </c>
      <c r="R32" s="4">
        <v>2</v>
      </c>
    </row>
    <row r="33" spans="1:18">
      <c r="A33" s="29" t="s">
        <v>2</v>
      </c>
      <c r="B33" s="4" t="s">
        <v>14</v>
      </c>
      <c r="C33" s="4">
        <v>6</v>
      </c>
      <c r="D33" s="4">
        <v>8</v>
      </c>
      <c r="E33" s="4">
        <v>7</v>
      </c>
      <c r="F33" s="4">
        <v>10</v>
      </c>
      <c r="G33" s="4">
        <v>3</v>
      </c>
      <c r="H33" s="4">
        <v>9</v>
      </c>
      <c r="I33" s="4">
        <v>9</v>
      </c>
      <c r="J33" s="4">
        <v>5</v>
      </c>
      <c r="K33" s="4">
        <v>4</v>
      </c>
      <c r="L33" s="4">
        <v>4</v>
      </c>
      <c r="M33" s="4">
        <v>0</v>
      </c>
      <c r="N33" s="4">
        <v>6</v>
      </c>
      <c r="O33" s="4">
        <v>20</v>
      </c>
      <c r="P33" s="4">
        <v>15</v>
      </c>
      <c r="Q33" s="4">
        <v>1</v>
      </c>
      <c r="R33" s="4">
        <v>3</v>
      </c>
    </row>
    <row r="34" spans="1:18">
      <c r="A34" s="29" t="s">
        <v>10</v>
      </c>
      <c r="B34" s="4" t="s">
        <v>29</v>
      </c>
      <c r="C34" s="4">
        <v>10</v>
      </c>
      <c r="D34" s="4">
        <v>8</v>
      </c>
      <c r="E34" s="4">
        <v>12</v>
      </c>
      <c r="F34" s="4">
        <v>8</v>
      </c>
      <c r="G34" s="4">
        <v>10</v>
      </c>
      <c r="H34" s="4">
        <v>16</v>
      </c>
      <c r="I34" s="4">
        <v>9</v>
      </c>
      <c r="J34" s="4">
        <v>10</v>
      </c>
      <c r="K34" s="4">
        <v>5</v>
      </c>
      <c r="L34" s="4">
        <v>6</v>
      </c>
      <c r="M34" s="4">
        <v>7</v>
      </c>
      <c r="N34" s="4">
        <v>11</v>
      </c>
      <c r="O34" s="4">
        <v>19</v>
      </c>
      <c r="P34" s="4">
        <v>23</v>
      </c>
      <c r="Q34" s="4">
        <v>7</v>
      </c>
      <c r="R34" s="4">
        <v>4</v>
      </c>
    </row>
    <row r="35" spans="1:18">
      <c r="A35" s="29" t="s">
        <v>10</v>
      </c>
      <c r="B35" s="4" t="s">
        <v>17</v>
      </c>
      <c r="C35" s="4">
        <v>3</v>
      </c>
      <c r="D35" s="4">
        <v>3</v>
      </c>
      <c r="E35" s="4">
        <v>10</v>
      </c>
      <c r="F35" s="4">
        <v>5</v>
      </c>
      <c r="G35" s="4">
        <v>15</v>
      </c>
      <c r="H35" s="4">
        <v>17</v>
      </c>
      <c r="I35" s="4">
        <v>26</v>
      </c>
      <c r="J35" s="4">
        <v>21</v>
      </c>
      <c r="K35" s="4">
        <v>21</v>
      </c>
      <c r="L35" s="4">
        <v>16</v>
      </c>
      <c r="M35" s="4">
        <v>19</v>
      </c>
      <c r="N35" s="4">
        <v>13</v>
      </c>
      <c r="O35" s="4">
        <v>21</v>
      </c>
      <c r="P35" s="4">
        <v>25</v>
      </c>
      <c r="Q35" s="4">
        <v>5</v>
      </c>
      <c r="R35" s="4">
        <v>2</v>
      </c>
    </row>
    <row r="36" spans="1:18">
      <c r="A36" s="29" t="s">
        <v>10</v>
      </c>
      <c r="B36" s="4" t="s">
        <v>20</v>
      </c>
      <c r="C36" s="4">
        <v>6</v>
      </c>
      <c r="D36" s="4">
        <v>8</v>
      </c>
      <c r="E36" s="4">
        <v>6</v>
      </c>
      <c r="F36" s="4">
        <v>8</v>
      </c>
      <c r="G36" s="4">
        <v>7</v>
      </c>
      <c r="H36" s="4">
        <v>12</v>
      </c>
      <c r="I36" s="4">
        <v>7</v>
      </c>
      <c r="J36" s="4">
        <v>11</v>
      </c>
      <c r="K36" s="4">
        <v>8</v>
      </c>
      <c r="L36" s="4">
        <v>11</v>
      </c>
      <c r="M36" s="4">
        <v>5</v>
      </c>
      <c r="N36" s="4">
        <v>9</v>
      </c>
      <c r="O36" s="4">
        <v>18</v>
      </c>
      <c r="P36" s="4">
        <v>21</v>
      </c>
      <c r="Q36" s="4">
        <v>6</v>
      </c>
      <c r="R36" s="4">
        <v>11</v>
      </c>
    </row>
    <row r="37" spans="1:18">
      <c r="A37" s="29" t="s">
        <v>10</v>
      </c>
      <c r="B37" s="4" t="s">
        <v>136</v>
      </c>
      <c r="C37" s="4">
        <v>9</v>
      </c>
      <c r="D37" s="4">
        <v>5</v>
      </c>
      <c r="E37" s="4">
        <v>9</v>
      </c>
      <c r="F37" s="4">
        <v>6</v>
      </c>
      <c r="G37" s="4">
        <v>4</v>
      </c>
      <c r="H37" s="4">
        <v>9</v>
      </c>
      <c r="I37" s="4">
        <v>4</v>
      </c>
      <c r="J37" s="4">
        <v>3</v>
      </c>
      <c r="K37" s="4">
        <v>10</v>
      </c>
      <c r="L37" s="4">
        <v>5</v>
      </c>
      <c r="M37" s="4">
        <v>2</v>
      </c>
      <c r="N37" s="4">
        <v>2</v>
      </c>
      <c r="O37" s="4">
        <v>18</v>
      </c>
      <c r="P37" s="4">
        <v>22</v>
      </c>
      <c r="Q37" s="4">
        <v>6</v>
      </c>
      <c r="R37" s="4">
        <v>5</v>
      </c>
    </row>
    <row r="38" spans="1:18">
      <c r="A38" s="29" t="s">
        <v>10</v>
      </c>
      <c r="B38" s="4" t="s">
        <v>31</v>
      </c>
      <c r="C38" s="4">
        <v>6</v>
      </c>
      <c r="D38" s="4">
        <v>4</v>
      </c>
      <c r="E38" s="4">
        <v>7</v>
      </c>
      <c r="F38" s="4">
        <v>13</v>
      </c>
      <c r="G38" s="4">
        <v>14</v>
      </c>
      <c r="H38" s="4">
        <v>17</v>
      </c>
      <c r="I38" s="4">
        <v>11</v>
      </c>
      <c r="J38" s="4">
        <v>13</v>
      </c>
      <c r="K38" s="4">
        <v>12</v>
      </c>
      <c r="L38" s="4">
        <v>8</v>
      </c>
      <c r="M38" s="4">
        <v>14</v>
      </c>
      <c r="N38" s="4">
        <v>7</v>
      </c>
      <c r="O38" s="4">
        <v>18</v>
      </c>
      <c r="P38" s="4">
        <v>21</v>
      </c>
      <c r="Q38" s="4">
        <v>3</v>
      </c>
      <c r="R38" s="4">
        <v>3</v>
      </c>
    </row>
    <row r="39" spans="1:18">
      <c r="A39" s="29" t="s">
        <v>10</v>
      </c>
      <c r="B39" s="4" t="s">
        <v>137</v>
      </c>
      <c r="C39" s="4">
        <v>10</v>
      </c>
      <c r="D39" s="4">
        <v>9</v>
      </c>
      <c r="E39" s="4">
        <v>12</v>
      </c>
      <c r="F39" s="4">
        <v>15</v>
      </c>
      <c r="G39" s="4">
        <v>7</v>
      </c>
      <c r="H39" s="4">
        <v>16</v>
      </c>
      <c r="I39" s="4">
        <v>17</v>
      </c>
      <c r="J39" s="4">
        <v>19</v>
      </c>
      <c r="K39" s="4">
        <v>7</v>
      </c>
      <c r="L39" s="4">
        <v>5</v>
      </c>
      <c r="M39" s="4">
        <v>8</v>
      </c>
      <c r="N39" s="4">
        <v>14</v>
      </c>
      <c r="O39" s="4">
        <v>16</v>
      </c>
      <c r="P39" s="4">
        <v>16</v>
      </c>
      <c r="Q39" s="4">
        <v>14</v>
      </c>
      <c r="R39" s="4">
        <v>14</v>
      </c>
    </row>
    <row r="40" spans="1:18" ht="15.75" thickBot="1">
      <c r="A40" s="30" t="s">
        <v>7</v>
      </c>
      <c r="B40" s="26" t="s">
        <v>8</v>
      </c>
      <c r="C40" s="26">
        <v>6</v>
      </c>
      <c r="D40" s="26">
        <v>8</v>
      </c>
      <c r="E40" s="26">
        <v>8</v>
      </c>
      <c r="F40" s="26">
        <v>10</v>
      </c>
      <c r="G40" s="26">
        <v>17</v>
      </c>
      <c r="H40" s="26">
        <v>17</v>
      </c>
      <c r="I40" s="26">
        <v>23</v>
      </c>
      <c r="J40" s="26">
        <v>19</v>
      </c>
      <c r="K40" s="26">
        <v>16</v>
      </c>
      <c r="L40" s="26">
        <v>16</v>
      </c>
      <c r="M40" s="26">
        <v>23</v>
      </c>
      <c r="N40" s="26">
        <v>16</v>
      </c>
      <c r="O40" s="26">
        <v>18</v>
      </c>
      <c r="P40" s="26">
        <v>13</v>
      </c>
      <c r="Q40" s="26">
        <v>16</v>
      </c>
      <c r="R40" s="26">
        <v>6</v>
      </c>
    </row>
    <row r="41" spans="1:18">
      <c r="A41" s="43" t="s">
        <v>1055</v>
      </c>
      <c r="B41" s="43"/>
      <c r="C41" s="44">
        <f>SUM(C3:C40)</f>
        <v>185</v>
      </c>
      <c r="D41" s="44">
        <f t="shared" ref="D41:R41" si="0">SUM(D3:D40)</f>
        <v>199</v>
      </c>
      <c r="E41" s="44">
        <f t="shared" si="0"/>
        <v>287</v>
      </c>
      <c r="F41" s="44">
        <f t="shared" si="0"/>
        <v>305</v>
      </c>
      <c r="G41" s="44">
        <f t="shared" si="0"/>
        <v>362</v>
      </c>
      <c r="H41" s="44">
        <f t="shared" si="0"/>
        <v>430</v>
      </c>
      <c r="I41" s="44">
        <f t="shared" si="0"/>
        <v>440</v>
      </c>
      <c r="J41" s="44">
        <f t="shared" si="0"/>
        <v>430</v>
      </c>
      <c r="K41" s="44">
        <f t="shared" si="0"/>
        <v>352</v>
      </c>
      <c r="L41" s="44">
        <f t="shared" si="0"/>
        <v>350</v>
      </c>
      <c r="M41" s="44">
        <f t="shared" si="0"/>
        <v>346</v>
      </c>
      <c r="N41" s="44">
        <f t="shared" si="0"/>
        <v>380</v>
      </c>
      <c r="O41" s="44">
        <f t="shared" si="0"/>
        <v>536</v>
      </c>
      <c r="P41" s="44">
        <f t="shared" si="0"/>
        <v>559</v>
      </c>
      <c r="Q41" s="44">
        <f t="shared" si="0"/>
        <v>163</v>
      </c>
      <c r="R41" s="44">
        <f t="shared" si="0"/>
        <v>151</v>
      </c>
    </row>
    <row r="44" spans="1:18" ht="16.5">
      <c r="A44" s="178" t="s">
        <v>1039</v>
      </c>
      <c r="B44" s="179"/>
      <c r="C44" s="33">
        <v>8.0500000000000007</v>
      </c>
    </row>
    <row r="45" spans="1:18" ht="16.5">
      <c r="A45" s="170" t="s">
        <v>1057</v>
      </c>
      <c r="B45" s="171"/>
      <c r="C45" s="33">
        <v>5.1100000000000003</v>
      </c>
    </row>
    <row r="46" spans="1:18" ht="16.5">
      <c r="A46" s="170" t="s">
        <v>1058</v>
      </c>
      <c r="B46" s="171"/>
      <c r="C46" s="34">
        <v>0.96</v>
      </c>
    </row>
    <row r="48" spans="1:18" ht="16.5">
      <c r="A48" s="15" t="s">
        <v>46</v>
      </c>
      <c r="B48" s="15" t="s">
        <v>48</v>
      </c>
      <c r="C48" s="15" t="s">
        <v>47</v>
      </c>
      <c r="D48" s="42" t="s">
        <v>1053</v>
      </c>
      <c r="F48" s="15" t="s">
        <v>46</v>
      </c>
      <c r="G48" s="15" t="s">
        <v>48</v>
      </c>
      <c r="H48" s="15" t="s">
        <v>47</v>
      </c>
      <c r="I48" s="42" t="s">
        <v>1053</v>
      </c>
    </row>
    <row r="49" spans="1:9" ht="16.5">
      <c r="A49" s="14" t="s">
        <v>943</v>
      </c>
      <c r="B49" s="12">
        <f>C41</f>
        <v>185</v>
      </c>
      <c r="C49" s="12">
        <f>D41</f>
        <v>199</v>
      </c>
      <c r="D49" s="58">
        <f>B49+C49</f>
        <v>384</v>
      </c>
      <c r="F49" s="14" t="s">
        <v>943</v>
      </c>
      <c r="G49" s="10">
        <f t="shared" ref="G49:H56" si="1">B49/B$57</f>
        <v>6.9262448521153125E-2</v>
      </c>
      <c r="H49" s="10">
        <f t="shared" si="1"/>
        <v>7.0970042796005703E-2</v>
      </c>
      <c r="I49" s="52">
        <f>D49/D57</f>
        <v>7.0136986301369858E-2</v>
      </c>
    </row>
    <row r="50" spans="1:9" ht="16.5">
      <c r="A50" s="13" t="s">
        <v>942</v>
      </c>
      <c r="B50" s="12">
        <f>E41</f>
        <v>287</v>
      </c>
      <c r="C50" s="12">
        <f>F41</f>
        <v>305</v>
      </c>
      <c r="D50" s="58">
        <f t="shared" ref="D50:D56" si="2">B50+C50</f>
        <v>592</v>
      </c>
      <c r="F50" s="13" t="s">
        <v>942</v>
      </c>
      <c r="G50" s="10">
        <f t="shared" si="1"/>
        <v>0.10745039311119431</v>
      </c>
      <c r="H50" s="10">
        <f t="shared" si="1"/>
        <v>0.10877318116975748</v>
      </c>
      <c r="I50" s="52">
        <f>D50/D57</f>
        <v>0.10812785388127853</v>
      </c>
    </row>
    <row r="51" spans="1:9" ht="16.5">
      <c r="A51" s="11" t="s">
        <v>941</v>
      </c>
      <c r="B51" s="12">
        <f>G41</f>
        <v>362</v>
      </c>
      <c r="C51" s="12">
        <f>H41</f>
        <v>430</v>
      </c>
      <c r="D51" s="58">
        <f t="shared" si="2"/>
        <v>792</v>
      </c>
      <c r="F51" s="11" t="s">
        <v>941</v>
      </c>
      <c r="G51" s="10">
        <f t="shared" si="1"/>
        <v>0.13552976413328341</v>
      </c>
      <c r="H51" s="10">
        <f t="shared" si="1"/>
        <v>0.15335235378031384</v>
      </c>
      <c r="I51" s="52">
        <f>D51/D57</f>
        <v>0.14465753424657535</v>
      </c>
    </row>
    <row r="52" spans="1:9" ht="16.5">
      <c r="A52" s="11" t="s">
        <v>940</v>
      </c>
      <c r="B52" s="12">
        <f>I41</f>
        <v>440</v>
      </c>
      <c r="C52" s="12">
        <f>J41</f>
        <v>430</v>
      </c>
      <c r="D52" s="58">
        <f t="shared" si="2"/>
        <v>870</v>
      </c>
      <c r="F52" s="11" t="s">
        <v>940</v>
      </c>
      <c r="G52" s="10">
        <f t="shared" si="1"/>
        <v>0.16473230999625607</v>
      </c>
      <c r="H52" s="10">
        <f t="shared" si="1"/>
        <v>0.15335235378031384</v>
      </c>
      <c r="I52" s="52">
        <f>D52/D57</f>
        <v>0.15890410958904111</v>
      </c>
    </row>
    <row r="53" spans="1:9" ht="16.5">
      <c r="A53" s="14" t="s">
        <v>939</v>
      </c>
      <c r="B53" s="12">
        <f>K41</f>
        <v>352</v>
      </c>
      <c r="C53" s="12">
        <f>L41</f>
        <v>350</v>
      </c>
      <c r="D53" s="58">
        <f t="shared" si="2"/>
        <v>702</v>
      </c>
      <c r="F53" s="14" t="s">
        <v>939</v>
      </c>
      <c r="G53" s="10">
        <f t="shared" si="1"/>
        <v>0.13178584799700488</v>
      </c>
      <c r="H53" s="10">
        <f t="shared" si="1"/>
        <v>0.12482168330955777</v>
      </c>
      <c r="I53" s="52">
        <f>D53/D57</f>
        <v>0.12821917808219177</v>
      </c>
    </row>
    <row r="54" spans="1:9" ht="16.5">
      <c r="A54" s="14" t="s">
        <v>938</v>
      </c>
      <c r="B54" s="12">
        <f>M41</f>
        <v>346</v>
      </c>
      <c r="C54" s="12">
        <f>N41</f>
        <v>380</v>
      </c>
      <c r="D54" s="58">
        <f t="shared" si="2"/>
        <v>726</v>
      </c>
      <c r="F54" s="14" t="s">
        <v>938</v>
      </c>
      <c r="G54" s="10">
        <f t="shared" si="1"/>
        <v>0.12953949831523773</v>
      </c>
      <c r="H54" s="10">
        <f t="shared" si="1"/>
        <v>0.1355206847360913</v>
      </c>
      <c r="I54" s="52">
        <f>D54/D57</f>
        <v>0.1326027397260274</v>
      </c>
    </row>
    <row r="55" spans="1:9" ht="16.5">
      <c r="A55" s="13" t="s">
        <v>937</v>
      </c>
      <c r="B55" s="12">
        <f>O41</f>
        <v>536</v>
      </c>
      <c r="C55" s="12">
        <f>P41</f>
        <v>559</v>
      </c>
      <c r="D55" s="58">
        <f t="shared" si="2"/>
        <v>1095</v>
      </c>
      <c r="F55" s="13" t="s">
        <v>937</v>
      </c>
      <c r="G55" s="10">
        <f t="shared" si="1"/>
        <v>0.20067390490453013</v>
      </c>
      <c r="H55" s="10">
        <f t="shared" si="1"/>
        <v>0.199358059914408</v>
      </c>
      <c r="I55" s="52">
        <f>D55/D57</f>
        <v>0.2</v>
      </c>
    </row>
    <row r="56" spans="1:9" ht="16.5">
      <c r="A56" s="11" t="s">
        <v>45</v>
      </c>
      <c r="B56" s="12">
        <f>Q41</f>
        <v>163</v>
      </c>
      <c r="C56" s="12">
        <f>R41</f>
        <v>151</v>
      </c>
      <c r="D56" s="58">
        <f t="shared" si="2"/>
        <v>314</v>
      </c>
      <c r="F56" s="11" t="s">
        <v>45</v>
      </c>
      <c r="G56" s="10">
        <f t="shared" si="1"/>
        <v>6.102583302134032E-2</v>
      </c>
      <c r="H56" s="10">
        <f t="shared" si="1"/>
        <v>5.3851640513552068E-2</v>
      </c>
      <c r="I56" s="52">
        <f>D56/D57</f>
        <v>5.7351598173515983E-2</v>
      </c>
    </row>
    <row r="57" spans="1:9" ht="16.5">
      <c r="A57" s="15" t="s">
        <v>999</v>
      </c>
      <c r="B57" s="56">
        <f>SUM(B49:B56)</f>
        <v>2671</v>
      </c>
      <c r="C57" s="56">
        <f>SUM(C49:C56)</f>
        <v>2804</v>
      </c>
      <c r="D57" s="57">
        <f>SUM(D49:D56)</f>
        <v>5475</v>
      </c>
      <c r="F57" s="9" t="s">
        <v>999</v>
      </c>
      <c r="G57" s="59">
        <f>B57/D57</f>
        <v>0.48785388127853879</v>
      </c>
      <c r="H57" s="59">
        <f>C57/D57</f>
        <v>0.51214611872146121</v>
      </c>
      <c r="I57" s="60">
        <f>SUM(I49:I56)</f>
        <v>1</v>
      </c>
    </row>
    <row r="58" spans="1:9" ht="16.5">
      <c r="A58" s="55"/>
      <c r="B58" s="49"/>
      <c r="C58" s="49"/>
      <c r="D58" s="50"/>
      <c r="F58" s="55"/>
      <c r="G58" s="51"/>
      <c r="H58" s="51"/>
      <c r="I58" s="52"/>
    </row>
    <row r="59" spans="1:9" ht="16.5">
      <c r="A59" s="55"/>
      <c r="B59" s="49"/>
      <c r="C59" s="49"/>
      <c r="D59" s="50"/>
      <c r="F59" s="55"/>
      <c r="G59" s="51"/>
      <c r="H59" s="51"/>
      <c r="I59" s="52"/>
    </row>
    <row r="62" spans="1:9">
      <c r="A62" s="48" t="s">
        <v>46</v>
      </c>
      <c r="B62" s="48" t="s">
        <v>1040</v>
      </c>
      <c r="C62" s="48" t="s">
        <v>1041</v>
      </c>
      <c r="D62" s="48" t="s">
        <v>1042</v>
      </c>
      <c r="E62" s="48" t="s">
        <v>1044</v>
      </c>
      <c r="F62" s="48" t="s">
        <v>1043</v>
      </c>
    </row>
    <row r="63" spans="1:9">
      <c r="A63" s="45" t="s">
        <v>1045</v>
      </c>
      <c r="B63" s="46">
        <f t="shared" ref="B63:B70" si="3">0.5-C63</f>
        <v>0.43073755147884685</v>
      </c>
      <c r="C63" s="47">
        <f>B49/B57</f>
        <v>6.9262448521153125E-2</v>
      </c>
      <c r="D63" s="45">
        <v>0.1</v>
      </c>
      <c r="E63" s="47">
        <f>C49/C57</f>
        <v>7.0970042796005703E-2</v>
      </c>
      <c r="F63" s="46">
        <f t="shared" ref="F63:F70" si="4">0.5-E63</f>
        <v>0.42902995720399428</v>
      </c>
    </row>
    <row r="64" spans="1:9">
      <c r="A64" s="45" t="s">
        <v>1046</v>
      </c>
      <c r="B64" s="46">
        <f t="shared" si="3"/>
        <v>0.39254960688880569</v>
      </c>
      <c r="C64" s="47">
        <f>B50/B57</f>
        <v>0.10745039311119431</v>
      </c>
      <c r="D64" s="45">
        <v>0.1</v>
      </c>
      <c r="E64" s="47">
        <f>C50/C57</f>
        <v>0.10877318116975748</v>
      </c>
      <c r="F64" s="46">
        <f t="shared" si="4"/>
        <v>0.39122681883024252</v>
      </c>
    </row>
    <row r="65" spans="1:6">
      <c r="A65" s="45" t="s">
        <v>1047</v>
      </c>
      <c r="B65" s="46">
        <f t="shared" si="3"/>
        <v>0.36447023586671656</v>
      </c>
      <c r="C65" s="47">
        <f>B51/B57</f>
        <v>0.13552976413328341</v>
      </c>
      <c r="D65" s="45">
        <v>0.1</v>
      </c>
      <c r="E65" s="47">
        <f>C51/C57</f>
        <v>0.15335235378031384</v>
      </c>
      <c r="F65" s="46">
        <f t="shared" si="4"/>
        <v>0.34664764621968613</v>
      </c>
    </row>
    <row r="66" spans="1:6">
      <c r="A66" s="45" t="s">
        <v>1048</v>
      </c>
      <c r="B66" s="46">
        <f t="shared" si="3"/>
        <v>0.3352676900037439</v>
      </c>
      <c r="C66" s="47">
        <f>B52/B57</f>
        <v>0.16473230999625607</v>
      </c>
      <c r="D66" s="45">
        <v>0.1</v>
      </c>
      <c r="E66" s="47">
        <f>C52/C57</f>
        <v>0.15335235378031384</v>
      </c>
      <c r="F66" s="46">
        <f t="shared" si="4"/>
        <v>0.34664764621968613</v>
      </c>
    </row>
    <row r="67" spans="1:6">
      <c r="A67" s="45" t="s">
        <v>1049</v>
      </c>
      <c r="B67" s="46">
        <f t="shared" si="3"/>
        <v>0.36821415200299512</v>
      </c>
      <c r="C67" s="47">
        <f>B53/B57</f>
        <v>0.13178584799700488</v>
      </c>
      <c r="D67" s="45">
        <v>0.1</v>
      </c>
      <c r="E67" s="47">
        <f>C53/C57</f>
        <v>0.12482168330955777</v>
      </c>
      <c r="F67" s="46">
        <f t="shared" si="4"/>
        <v>0.37517831669044222</v>
      </c>
    </row>
    <row r="68" spans="1:6">
      <c r="A68" s="45" t="s">
        <v>1050</v>
      </c>
      <c r="B68" s="46">
        <f t="shared" si="3"/>
        <v>0.3704605016847623</v>
      </c>
      <c r="C68" s="47">
        <f>B54/B57</f>
        <v>0.12953949831523773</v>
      </c>
      <c r="D68" s="45">
        <v>0.1</v>
      </c>
      <c r="E68" s="47">
        <f>C54/C57</f>
        <v>0.1355206847360913</v>
      </c>
      <c r="F68" s="46">
        <f t="shared" si="4"/>
        <v>0.3644793152639087</v>
      </c>
    </row>
    <row r="69" spans="1:6">
      <c r="A69" s="45" t="s">
        <v>1051</v>
      </c>
      <c r="B69" s="46">
        <f t="shared" si="3"/>
        <v>0.29932609509546987</v>
      </c>
      <c r="C69" s="47">
        <f>B55/B57</f>
        <v>0.20067390490453013</v>
      </c>
      <c r="D69" s="45">
        <v>0.1</v>
      </c>
      <c r="E69" s="47">
        <f>C55/C57</f>
        <v>0.199358059914408</v>
      </c>
      <c r="F69" s="46">
        <f t="shared" si="4"/>
        <v>0.30064194008559197</v>
      </c>
    </row>
    <row r="70" spans="1:6">
      <c r="A70" s="45" t="s">
        <v>45</v>
      </c>
      <c r="B70" s="46">
        <f t="shared" si="3"/>
        <v>0.43897416697865965</v>
      </c>
      <c r="C70" s="47">
        <f>B56/B57</f>
        <v>6.102583302134032E-2</v>
      </c>
      <c r="D70" s="45">
        <v>0.1</v>
      </c>
      <c r="E70" s="47">
        <f>C56/C57</f>
        <v>5.3851640513552068E-2</v>
      </c>
      <c r="F70" s="46">
        <f t="shared" si="4"/>
        <v>0.44614835948644793</v>
      </c>
    </row>
  </sheetData>
  <mergeCells count="12">
    <mergeCell ref="A46:B46"/>
    <mergeCell ref="M1:N1"/>
    <mergeCell ref="O1:P1"/>
    <mergeCell ref="Q1:R1"/>
    <mergeCell ref="A44:B44"/>
    <mergeCell ref="A45:B45"/>
    <mergeCell ref="A1:B1"/>
    <mergeCell ref="C1:D1"/>
    <mergeCell ref="E1:F1"/>
    <mergeCell ref="G1:H1"/>
    <mergeCell ref="I1:J1"/>
    <mergeCell ref="K1:L1"/>
  </mergeCells>
  <conditionalFormatting sqref="B49:C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{8F3A0AEE-A046-4DC5-9FFE-DB515ED72390}</x14:id>
        </ext>
      </extLst>
    </cfRule>
  </conditionalFormatting>
  <conditionalFormatting sqref="G49:H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{944C02A8-4242-418F-BA1B-65F2DCFBB630}</x14:id>
        </ext>
      </extLst>
    </cfRule>
  </conditionalFormatting>
  <conditionalFormatting sqref="A3:R40">
    <cfRule type="expression" dxfId="45" priority="1">
      <formula>MOD(ROW(),2)=1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3A0AEE-A046-4DC5-9FFE-DB515ED723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B49:C56</xm:sqref>
        </x14:conditionalFormatting>
        <x14:conditionalFormatting xmlns:xm="http://schemas.microsoft.com/office/excel/2006/main">
          <x14:cfRule type="dataBar" id="{944C02A8-4242-418F-BA1B-65F2DCFBB6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G49:H56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P112"/>
  <sheetViews>
    <sheetView zoomScale="70" zoomScaleNormal="70" workbookViewId="0">
      <selection activeCell="G109" sqref="G109"/>
    </sheetView>
  </sheetViews>
  <sheetFormatPr defaultColWidth="11.42578125" defaultRowHeight="15"/>
  <cols>
    <col min="1" max="1" width="3.42578125" customWidth="1"/>
    <col min="2" max="2" width="2.85546875" customWidth="1"/>
    <col min="3" max="3" width="17.85546875" customWidth="1"/>
    <col min="4" max="4" width="21.7109375" customWidth="1"/>
    <col min="5" max="5" width="16" customWidth="1"/>
    <col min="6" max="6" width="14.5703125" customWidth="1"/>
    <col min="7" max="7" width="18.85546875" customWidth="1"/>
    <col min="8" max="8" width="10.5703125" customWidth="1"/>
    <col min="9" max="9" width="15" customWidth="1"/>
    <col min="10" max="10" width="10" customWidth="1"/>
    <col min="11" max="11" width="21.42578125" customWidth="1"/>
    <col min="12" max="12" width="31.140625" bestFit="1" customWidth="1"/>
    <col min="13" max="13" width="31.5703125" bestFit="1" customWidth="1"/>
    <col min="14" max="14" width="23.140625" bestFit="1" customWidth="1"/>
    <col min="15" max="15" width="14.5703125" customWidth="1"/>
    <col min="16" max="16" width="4" customWidth="1"/>
    <col min="17" max="17" width="15" customWidth="1"/>
    <col min="18" max="18" width="11.28515625" customWidth="1"/>
    <col min="19" max="31" width="7.42578125" customWidth="1"/>
    <col min="32" max="37" width="8.85546875" customWidth="1"/>
    <col min="38" max="38" width="9.5703125" customWidth="1"/>
    <col min="39" max="39" width="15" customWidth="1"/>
    <col min="40" max="40" width="48" customWidth="1"/>
    <col min="41" max="41" width="23.28515625" customWidth="1"/>
    <col min="42" max="42" width="48" customWidth="1"/>
    <col min="43" max="43" width="23.28515625" customWidth="1"/>
    <col min="44" max="44" width="48" customWidth="1"/>
    <col min="45" max="45" width="23.28515625" customWidth="1"/>
    <col min="46" max="46" width="48" customWidth="1"/>
    <col min="47" max="47" width="23.28515625" customWidth="1"/>
    <col min="48" max="48" width="48" customWidth="1"/>
    <col min="49" max="49" width="23.28515625" customWidth="1"/>
    <col min="50" max="50" width="48" customWidth="1"/>
    <col min="51" max="51" width="23.28515625" customWidth="1"/>
    <col min="52" max="52" width="48" customWidth="1"/>
    <col min="53" max="53" width="23.28515625" customWidth="1"/>
    <col min="54" max="54" width="48" customWidth="1"/>
    <col min="55" max="55" width="23.28515625" customWidth="1"/>
    <col min="56" max="56" width="48" customWidth="1"/>
    <col min="57" max="57" width="23.28515625" customWidth="1"/>
    <col min="58" max="58" width="48" customWidth="1"/>
    <col min="59" max="59" width="23.28515625" customWidth="1"/>
    <col min="60" max="60" width="48" customWidth="1"/>
    <col min="61" max="61" width="23.28515625" customWidth="1"/>
    <col min="62" max="62" width="48" customWidth="1"/>
    <col min="63" max="63" width="23.28515625" customWidth="1"/>
    <col min="64" max="64" width="48" customWidth="1"/>
    <col min="65" max="65" width="23.28515625" customWidth="1"/>
    <col min="66" max="66" width="48" customWidth="1"/>
    <col min="67" max="67" width="23.28515625" customWidth="1"/>
    <col min="68" max="68" width="48" bestFit="1" customWidth="1"/>
    <col min="69" max="69" width="23.28515625" customWidth="1"/>
    <col min="70" max="70" width="48" customWidth="1"/>
    <col min="71" max="71" width="23.28515625" customWidth="1"/>
    <col min="72" max="72" width="48" bestFit="1" customWidth="1"/>
    <col min="73" max="73" width="23.28515625" customWidth="1"/>
    <col min="74" max="74" width="48" customWidth="1"/>
    <col min="75" max="75" width="30.5703125" customWidth="1"/>
    <col min="76" max="76" width="55.140625" customWidth="1"/>
    <col min="77" max="77" width="17.85546875" customWidth="1"/>
    <col min="78" max="78" width="15" customWidth="1"/>
    <col min="79" max="79" width="11.85546875" customWidth="1"/>
    <col min="80" max="80" width="17.85546875" bestFit="1" customWidth="1"/>
    <col min="81" max="81" width="15.42578125" customWidth="1"/>
    <col min="82" max="82" width="11.85546875" customWidth="1"/>
    <col min="83" max="83" width="17.85546875" customWidth="1"/>
    <col min="84" max="84" width="15.42578125" customWidth="1"/>
    <col min="85" max="85" width="11.85546875" customWidth="1"/>
    <col min="86" max="86" width="17.85546875" bestFit="1" customWidth="1"/>
    <col min="87" max="87" width="14.42578125" customWidth="1"/>
    <col min="88" max="88" width="10.5703125" customWidth="1"/>
    <col min="89" max="89" width="12.85546875" bestFit="1" customWidth="1"/>
    <col min="90" max="90" width="15.42578125" customWidth="1"/>
    <col min="91" max="91" width="11.85546875" customWidth="1"/>
    <col min="92" max="92" width="17.85546875" bestFit="1" customWidth="1"/>
    <col min="93" max="93" width="15.42578125" bestFit="1" customWidth="1"/>
    <col min="94" max="94" width="11.85546875" bestFit="1" customWidth="1"/>
    <col min="95" max="95" width="17.85546875" bestFit="1" customWidth="1"/>
    <col min="96" max="96" width="15.42578125" bestFit="1" customWidth="1"/>
    <col min="97" max="97" width="11.85546875" bestFit="1" customWidth="1"/>
    <col min="98" max="98" width="17.85546875" bestFit="1" customWidth="1"/>
    <col min="99" max="99" width="15.42578125" bestFit="1" customWidth="1"/>
    <col min="100" max="100" width="11.85546875" bestFit="1" customWidth="1"/>
    <col min="101" max="101" width="17.85546875" bestFit="1" customWidth="1"/>
    <col min="102" max="102" width="14.7109375" bestFit="1" customWidth="1"/>
    <col min="103" max="103" width="11.85546875" bestFit="1" customWidth="1"/>
    <col min="104" max="104" width="17.85546875" bestFit="1" customWidth="1"/>
    <col min="105" max="105" width="14.7109375" bestFit="1" customWidth="1"/>
    <col min="106" max="106" width="11.85546875" bestFit="1" customWidth="1"/>
    <col min="107" max="107" width="17.85546875" bestFit="1" customWidth="1"/>
    <col min="108" max="108" width="16" bestFit="1" customWidth="1"/>
    <col min="109" max="109" width="11.28515625" customWidth="1"/>
    <col min="110" max="110" width="15.140625" bestFit="1" customWidth="1"/>
    <col min="111" max="111" width="15.7109375" bestFit="1" customWidth="1"/>
    <col min="112" max="112" width="11.85546875" bestFit="1" customWidth="1"/>
    <col min="113" max="113" width="17.85546875" bestFit="1" customWidth="1"/>
    <col min="114" max="114" width="15.42578125" bestFit="1" customWidth="1"/>
    <col min="115" max="115" width="11.85546875" bestFit="1" customWidth="1"/>
    <col min="116" max="116" width="17.85546875" bestFit="1" customWidth="1"/>
    <col min="117" max="117" width="16.28515625" bestFit="1" customWidth="1"/>
    <col min="118" max="118" width="11.85546875" bestFit="1" customWidth="1"/>
    <col min="119" max="119" width="17.85546875" bestFit="1" customWidth="1"/>
    <col min="120" max="120" width="16.5703125" bestFit="1" customWidth="1"/>
    <col min="121" max="121" width="11.85546875" bestFit="1" customWidth="1"/>
    <col min="122" max="122" width="17.85546875" bestFit="1" customWidth="1"/>
    <col min="123" max="123" width="16.7109375" bestFit="1" customWidth="1"/>
    <col min="124" max="126" width="11.85546875" bestFit="1" customWidth="1"/>
    <col min="127" max="127" width="6.85546875" customWidth="1"/>
    <col min="128" max="128" width="10.5703125" customWidth="1"/>
    <col min="129" max="130" width="17.85546875" bestFit="1" customWidth="1"/>
    <col min="131" max="131" width="16.28515625" bestFit="1" customWidth="1"/>
  </cols>
  <sheetData>
    <row r="2" spans="2:16" ht="15" customHeight="1">
      <c r="B2" s="181" t="s">
        <v>1194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05"/>
    </row>
    <row r="3" spans="2:16">
      <c r="B3" s="81"/>
      <c r="C3" s="4"/>
      <c r="D3" s="4"/>
      <c r="E3" s="40"/>
      <c r="F3" s="40"/>
      <c r="G3" s="40"/>
      <c r="H3" s="40"/>
      <c r="I3" s="4"/>
      <c r="J3" s="4"/>
      <c r="K3" s="4"/>
      <c r="L3" s="4"/>
      <c r="M3" s="4"/>
      <c r="N3" s="4"/>
      <c r="O3" s="82"/>
      <c r="P3" s="4"/>
    </row>
    <row r="4" spans="2:16">
      <c r="B4" s="81"/>
      <c r="C4" s="104" t="s">
        <v>1204</v>
      </c>
      <c r="D4" s="131" t="s">
        <v>1200</v>
      </c>
      <c r="E4" s="131" t="s">
        <v>1201</v>
      </c>
      <c r="F4" s="132" t="s">
        <v>1202</v>
      </c>
      <c r="G4" s="3" t="s">
        <v>1053</v>
      </c>
      <c r="H4" s="108"/>
      <c r="I4" s="4"/>
      <c r="J4" s="104" t="s">
        <v>1203</v>
      </c>
      <c r="K4" s="131" t="s">
        <v>1200</v>
      </c>
      <c r="L4" s="131" t="s">
        <v>1201</v>
      </c>
      <c r="M4" s="131" t="s">
        <v>1202</v>
      </c>
      <c r="N4" s="69" t="s">
        <v>1053</v>
      </c>
      <c r="O4" s="82"/>
      <c r="P4" s="4"/>
    </row>
    <row r="5" spans="2:16">
      <c r="B5" s="81"/>
      <c r="C5" s="31" t="s">
        <v>11</v>
      </c>
      <c r="D5" s="7">
        <v>3610</v>
      </c>
      <c r="E5" s="7"/>
      <c r="F5" s="107">
        <v>168</v>
      </c>
      <c r="G5" s="7">
        <f t="shared" ref="G5:G12" si="0">SUM(D5:F5)</f>
        <v>3778</v>
      </c>
      <c r="H5" s="7"/>
      <c r="I5" s="4"/>
      <c r="J5" s="31" t="s">
        <v>11</v>
      </c>
      <c r="K5" s="7">
        <v>544</v>
      </c>
      <c r="L5" s="7"/>
      <c r="M5" s="7">
        <v>31</v>
      </c>
      <c r="N5" s="7">
        <f t="shared" ref="N5:N11" si="1">SUM(K5:M5)</f>
        <v>575</v>
      </c>
      <c r="O5" s="82"/>
      <c r="P5" s="4"/>
    </row>
    <row r="6" spans="2:16">
      <c r="B6" s="81"/>
      <c r="C6" s="31" t="s">
        <v>7</v>
      </c>
      <c r="D6" s="7">
        <v>110265</v>
      </c>
      <c r="E6" s="7">
        <v>6880</v>
      </c>
      <c r="F6" s="107">
        <v>25986</v>
      </c>
      <c r="G6" s="7">
        <f t="shared" si="0"/>
        <v>143131</v>
      </c>
      <c r="H6" s="7"/>
      <c r="I6" s="4"/>
      <c r="J6" s="31" t="s">
        <v>7</v>
      </c>
      <c r="K6" s="7">
        <v>21059</v>
      </c>
      <c r="L6" s="7">
        <v>1376</v>
      </c>
      <c r="M6" s="7">
        <v>5186</v>
      </c>
      <c r="N6" s="7">
        <f t="shared" si="1"/>
        <v>27621</v>
      </c>
      <c r="O6" s="82"/>
      <c r="P6" s="4"/>
    </row>
    <row r="7" spans="2:16">
      <c r="B7" s="81"/>
      <c r="C7" s="31" t="s">
        <v>10</v>
      </c>
      <c r="D7" s="7">
        <v>19434</v>
      </c>
      <c r="E7" s="7">
        <v>844</v>
      </c>
      <c r="F7" s="107">
        <v>8947</v>
      </c>
      <c r="G7" s="7">
        <f t="shared" si="0"/>
        <v>29225</v>
      </c>
      <c r="H7" s="7"/>
      <c r="I7" s="4"/>
      <c r="J7" s="31" t="s">
        <v>10</v>
      </c>
      <c r="K7" s="7">
        <v>2910</v>
      </c>
      <c r="L7" s="7">
        <v>167</v>
      </c>
      <c r="M7" s="7">
        <v>1751</v>
      </c>
      <c r="N7" s="7">
        <f t="shared" si="1"/>
        <v>4828</v>
      </c>
      <c r="O7" s="82"/>
      <c r="P7" s="4"/>
    </row>
    <row r="8" spans="2:16">
      <c r="B8" s="81"/>
      <c r="C8" s="31" t="s">
        <v>4</v>
      </c>
      <c r="D8" s="7">
        <v>258</v>
      </c>
      <c r="E8" s="7">
        <v>12</v>
      </c>
      <c r="F8" s="107">
        <v>192</v>
      </c>
      <c r="G8" s="7">
        <f t="shared" si="0"/>
        <v>462</v>
      </c>
      <c r="H8" s="7"/>
      <c r="I8" s="4"/>
      <c r="J8" s="31" t="s">
        <v>4</v>
      </c>
      <c r="K8" s="7">
        <v>49</v>
      </c>
      <c r="L8" s="7">
        <v>3</v>
      </c>
      <c r="M8" s="7">
        <v>35</v>
      </c>
      <c r="N8" s="7">
        <f t="shared" si="1"/>
        <v>87</v>
      </c>
      <c r="O8" s="82"/>
      <c r="P8" s="4"/>
    </row>
    <row r="9" spans="2:16">
      <c r="B9" s="81"/>
      <c r="C9" s="31" t="s">
        <v>27</v>
      </c>
      <c r="D9" s="7">
        <v>33813</v>
      </c>
      <c r="E9" s="7">
        <v>515</v>
      </c>
      <c r="F9" s="107">
        <v>586</v>
      </c>
      <c r="G9" s="7">
        <f t="shared" si="0"/>
        <v>34914</v>
      </c>
      <c r="H9" s="7"/>
      <c r="I9" s="4"/>
      <c r="J9" s="31" t="s">
        <v>27</v>
      </c>
      <c r="K9" s="7">
        <v>5893</v>
      </c>
      <c r="L9" s="7">
        <v>104</v>
      </c>
      <c r="M9" s="7">
        <v>99</v>
      </c>
      <c r="N9" s="7">
        <f t="shared" si="1"/>
        <v>6096</v>
      </c>
      <c r="O9" s="82"/>
      <c r="P9" s="4"/>
    </row>
    <row r="10" spans="2:16">
      <c r="B10" s="81"/>
      <c r="C10" s="31" t="s">
        <v>2</v>
      </c>
      <c r="D10" s="7">
        <v>23211</v>
      </c>
      <c r="E10" s="7"/>
      <c r="F10" s="107">
        <v>3954</v>
      </c>
      <c r="G10" s="7">
        <f t="shared" si="0"/>
        <v>27165</v>
      </c>
      <c r="H10" s="7"/>
      <c r="I10" s="4"/>
      <c r="J10" s="31" t="s">
        <v>2</v>
      </c>
      <c r="K10" s="7">
        <v>3766</v>
      </c>
      <c r="L10" s="7"/>
      <c r="M10" s="7">
        <v>726</v>
      </c>
      <c r="N10" s="7">
        <f t="shared" si="1"/>
        <v>4492</v>
      </c>
      <c r="O10" s="82"/>
      <c r="P10" s="4"/>
    </row>
    <row r="11" spans="2:16">
      <c r="B11" s="81"/>
      <c r="C11" s="31" t="s">
        <v>1038</v>
      </c>
      <c r="D11" s="7">
        <v>190591</v>
      </c>
      <c r="E11" s="7">
        <v>8251</v>
      </c>
      <c r="F11" s="107">
        <v>39833</v>
      </c>
      <c r="G11" s="74">
        <f t="shared" si="0"/>
        <v>238675</v>
      </c>
      <c r="H11" s="109"/>
      <c r="I11" s="4"/>
      <c r="J11" s="31" t="s">
        <v>1038</v>
      </c>
      <c r="K11" s="7">
        <v>34221</v>
      </c>
      <c r="L11" s="7">
        <v>1650</v>
      </c>
      <c r="M11" s="7">
        <v>7828</v>
      </c>
      <c r="N11" s="74">
        <f t="shared" si="1"/>
        <v>43699</v>
      </c>
      <c r="O11" s="82"/>
      <c r="P11" s="4"/>
    </row>
    <row r="12" spans="2:16">
      <c r="B12" s="81"/>
      <c r="C12" s="74" t="s">
        <v>407</v>
      </c>
      <c r="D12" s="35">
        <f>GETPIVOTDATA("# IDP",$C$4)/G11</f>
        <v>0.79853776055305337</v>
      </c>
      <c r="E12" s="35">
        <f>GETPIVOTDATA("# Unregistered_Refugees",$C$4)/G11</f>
        <v>3.4570021996438674E-2</v>
      </c>
      <c r="F12" s="35">
        <f>GETPIVOTDATA("# Returnees",$C$4)/G11</f>
        <v>0.166892217450508</v>
      </c>
      <c r="G12" s="35">
        <f t="shared" si="0"/>
        <v>1</v>
      </c>
      <c r="H12" s="109"/>
      <c r="I12" s="4"/>
      <c r="J12" s="74" t="s">
        <v>407</v>
      </c>
      <c r="K12" s="35">
        <f>GETPIVOTDATA("# IDP",$J$4)/N11</f>
        <v>0.78310716492368249</v>
      </c>
      <c r="L12" s="35">
        <f>GETPIVOTDATA("# Unregistered_Refugees",$J$4)/N11</f>
        <v>3.7758301105288453E-2</v>
      </c>
      <c r="M12" s="35">
        <f>GETPIVOTDATA("# Returnees",$J$4)/N11</f>
        <v>0.17913453397102908</v>
      </c>
      <c r="N12" s="35">
        <f>SUM(K12:M12)</f>
        <v>1</v>
      </c>
      <c r="O12" s="82"/>
      <c r="P12" s="4"/>
    </row>
    <row r="13" spans="2:16">
      <c r="B13" s="81"/>
      <c r="C13" s="31"/>
      <c r="D13" s="7"/>
      <c r="E13" s="7"/>
      <c r="F13" s="7"/>
      <c r="G13" s="109"/>
      <c r="H13" s="109"/>
      <c r="I13" s="4"/>
      <c r="J13" s="31"/>
      <c r="K13" s="7"/>
      <c r="L13" s="7"/>
      <c r="M13" s="7"/>
      <c r="N13" s="109"/>
      <c r="O13" s="82"/>
      <c r="P13" s="4"/>
    </row>
    <row r="14" spans="2:16">
      <c r="B14" s="81"/>
      <c r="C14" s="31"/>
      <c r="D14" s="7"/>
      <c r="E14" s="7"/>
      <c r="F14" s="7"/>
      <c r="G14" s="109"/>
      <c r="H14" s="109"/>
      <c r="I14" s="4"/>
      <c r="J14" s="31"/>
      <c r="K14" s="7"/>
      <c r="L14" s="7"/>
      <c r="M14" s="7"/>
      <c r="N14" s="109"/>
      <c r="O14" s="82"/>
      <c r="P14" s="4"/>
    </row>
    <row r="15" spans="2:16">
      <c r="B15" s="81"/>
      <c r="C15" s="31"/>
      <c r="D15" s="7"/>
      <c r="E15" s="7"/>
      <c r="F15" s="7"/>
      <c r="G15" s="109"/>
      <c r="H15" s="109"/>
      <c r="I15" s="4"/>
      <c r="J15" s="31"/>
      <c r="K15" s="7"/>
      <c r="L15" s="7"/>
      <c r="M15" s="7"/>
      <c r="N15" s="109"/>
      <c r="O15" s="82"/>
      <c r="P15" s="4"/>
    </row>
    <row r="16" spans="2:16">
      <c r="B16" s="81"/>
      <c r="C16" s="31"/>
      <c r="D16" s="7"/>
      <c r="E16" s="7"/>
      <c r="F16" s="7"/>
      <c r="G16" s="109"/>
      <c r="H16" s="109"/>
      <c r="I16" s="4"/>
      <c r="J16" s="31"/>
      <c r="K16" s="7"/>
      <c r="L16" s="7"/>
      <c r="M16" s="7"/>
      <c r="N16" s="109"/>
      <c r="O16" s="82"/>
      <c r="P16" s="4"/>
    </row>
    <row r="17" spans="2:16">
      <c r="B17" s="81"/>
      <c r="C17" s="31"/>
      <c r="D17" s="7"/>
      <c r="E17" s="7"/>
      <c r="F17" s="7"/>
      <c r="G17" s="109"/>
      <c r="H17" s="109"/>
      <c r="I17" s="4"/>
      <c r="J17" s="31"/>
      <c r="K17" s="7"/>
      <c r="L17" s="7"/>
      <c r="M17" s="7"/>
      <c r="N17" s="109"/>
      <c r="O17" s="82"/>
      <c r="P17" s="4"/>
    </row>
    <row r="18" spans="2:16">
      <c r="B18" s="81"/>
      <c r="C18" s="31"/>
      <c r="D18" s="7"/>
      <c r="E18" s="7"/>
      <c r="F18" s="7"/>
      <c r="G18" s="109"/>
      <c r="H18" s="109"/>
      <c r="I18" s="4"/>
      <c r="J18" s="31"/>
      <c r="K18" s="7"/>
      <c r="L18" s="7"/>
      <c r="M18" s="7"/>
      <c r="N18" s="109"/>
      <c r="O18" s="82"/>
      <c r="P18" s="4"/>
    </row>
    <row r="19" spans="2:16">
      <c r="B19" s="81"/>
      <c r="C19" s="31"/>
      <c r="D19" s="7"/>
      <c r="E19" s="7"/>
      <c r="F19" s="7"/>
      <c r="G19" s="109"/>
      <c r="H19" s="109"/>
      <c r="I19" s="4"/>
      <c r="J19" s="31"/>
      <c r="K19" s="7"/>
      <c r="L19" s="7"/>
      <c r="M19" s="7"/>
      <c r="N19" s="109"/>
      <c r="O19" s="82"/>
      <c r="P19" s="4"/>
    </row>
    <row r="20" spans="2:16">
      <c r="B20" s="81"/>
      <c r="C20" s="31"/>
      <c r="D20" s="7"/>
      <c r="E20" s="7"/>
      <c r="F20" s="7"/>
      <c r="G20" s="109"/>
      <c r="H20" s="109"/>
      <c r="I20" s="4"/>
      <c r="J20" s="31"/>
      <c r="K20" s="7"/>
      <c r="L20" s="7"/>
      <c r="M20" s="7"/>
      <c r="N20" s="109"/>
      <c r="O20" s="82"/>
      <c r="P20" s="4"/>
    </row>
    <row r="21" spans="2:16">
      <c r="B21" s="81"/>
      <c r="C21" s="31"/>
      <c r="D21" s="7"/>
      <c r="E21" s="7"/>
      <c r="F21" s="7"/>
      <c r="G21" s="109"/>
      <c r="H21" s="109"/>
      <c r="I21" s="4"/>
      <c r="J21" s="31"/>
      <c r="K21" s="7"/>
      <c r="L21" s="7"/>
      <c r="M21" s="7"/>
      <c r="N21" s="109"/>
      <c r="O21" s="82"/>
      <c r="P21" s="4"/>
    </row>
    <row r="22" spans="2:16">
      <c r="B22" s="81"/>
      <c r="C22" s="31"/>
      <c r="D22" s="7"/>
      <c r="E22" s="7"/>
      <c r="F22" s="7"/>
      <c r="G22" s="109"/>
      <c r="H22" s="109"/>
      <c r="I22" s="4"/>
      <c r="J22" s="31"/>
      <c r="K22" s="7"/>
      <c r="L22" s="7"/>
      <c r="M22" s="7"/>
      <c r="N22" s="109"/>
      <c r="O22" s="82"/>
      <c r="P22" s="4"/>
    </row>
    <row r="23" spans="2:16">
      <c r="B23" s="81"/>
      <c r="C23" s="31"/>
      <c r="D23" s="7"/>
      <c r="E23" s="7"/>
      <c r="F23" s="7"/>
      <c r="G23" s="109"/>
      <c r="H23" s="109"/>
      <c r="I23" s="4"/>
      <c r="J23" s="31"/>
      <c r="K23" s="7"/>
      <c r="L23" s="7"/>
      <c r="M23" s="7"/>
      <c r="N23" s="109"/>
      <c r="O23" s="82"/>
      <c r="P23" s="4"/>
    </row>
    <row r="24" spans="2:16">
      <c r="B24" s="81"/>
      <c r="C24" s="31"/>
      <c r="D24" s="7"/>
      <c r="E24" s="7"/>
      <c r="F24" s="7"/>
      <c r="G24" s="109"/>
      <c r="H24" s="109"/>
      <c r="I24" s="4"/>
      <c r="J24" s="31"/>
      <c r="K24" s="7"/>
      <c r="L24" s="7"/>
      <c r="M24" s="7"/>
      <c r="N24" s="109"/>
      <c r="O24" s="82"/>
      <c r="P24" s="4"/>
    </row>
    <row r="25" spans="2:16">
      <c r="B25" s="81"/>
      <c r="C25" s="31"/>
      <c r="D25" s="7"/>
      <c r="E25" s="7"/>
      <c r="F25" s="7"/>
      <c r="G25" s="109"/>
      <c r="H25" s="109"/>
      <c r="I25" s="4"/>
      <c r="J25" s="31"/>
      <c r="K25" s="7"/>
      <c r="L25" s="7"/>
      <c r="M25" s="7"/>
      <c r="N25" s="109"/>
      <c r="O25" s="82"/>
      <c r="P25" s="4"/>
    </row>
    <row r="26" spans="2:16">
      <c r="B26" s="81"/>
      <c r="C26" s="31"/>
      <c r="D26" s="7"/>
      <c r="E26" s="7"/>
      <c r="F26" s="7"/>
      <c r="G26" s="109"/>
      <c r="H26" s="109"/>
      <c r="I26" s="4"/>
      <c r="J26" s="31"/>
      <c r="K26" s="7"/>
      <c r="L26" s="7"/>
      <c r="M26" s="7"/>
      <c r="N26" s="109"/>
      <c r="O26" s="82"/>
      <c r="P26" s="4"/>
    </row>
    <row r="27" spans="2:16">
      <c r="B27" s="83"/>
      <c r="C27" s="84"/>
      <c r="D27" s="100"/>
      <c r="E27" s="84"/>
      <c r="F27" s="84"/>
      <c r="G27" s="84"/>
      <c r="H27" s="84"/>
      <c r="I27" s="84"/>
      <c r="J27" s="84"/>
      <c r="K27" s="100"/>
      <c r="L27" s="84"/>
      <c r="M27" s="84"/>
      <c r="N27" s="84"/>
      <c r="O27" s="85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6" ht="15.75">
      <c r="B29" s="181" t="s">
        <v>1195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</row>
    <row r="30" spans="2:16">
      <c r="B30" s="8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2"/>
    </row>
    <row r="31" spans="2:16">
      <c r="B31" s="81"/>
      <c r="C31" s="104" t="s">
        <v>1130</v>
      </c>
      <c r="D31" s="104" t="s">
        <v>1036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82"/>
    </row>
    <row r="32" spans="2:16" ht="17.25" customHeight="1">
      <c r="B32" s="81"/>
      <c r="C32" s="104" t="s">
        <v>1037</v>
      </c>
      <c r="D32" s="4" t="s">
        <v>1</v>
      </c>
      <c r="E32" s="4" t="s">
        <v>1065</v>
      </c>
      <c r="F32" s="4" t="s">
        <v>1220</v>
      </c>
      <c r="G32" s="3" t="s">
        <v>1221</v>
      </c>
      <c r="H32" s="4"/>
      <c r="I32" s="4"/>
      <c r="J32" s="4"/>
      <c r="K32" s="4"/>
      <c r="L32" s="4"/>
      <c r="M32" s="4"/>
      <c r="N32" s="4"/>
      <c r="O32" s="82"/>
    </row>
    <row r="33" spans="2:15">
      <c r="B33" s="81"/>
      <c r="C33" s="31" t="s">
        <v>1074</v>
      </c>
      <c r="D33" s="7">
        <v>20426</v>
      </c>
      <c r="E33" s="7">
        <v>10</v>
      </c>
      <c r="F33" s="7">
        <v>20436</v>
      </c>
      <c r="G33" s="17">
        <f>GETPIVOTDATA("Ind.",$C$31,"Period","Before_2014")/GETPIVOTDATA("Ind.",$C$31)</f>
        <v>0.10277506764164512</v>
      </c>
      <c r="H33" s="4"/>
      <c r="I33" s="17"/>
      <c r="J33" s="4"/>
      <c r="K33" s="4"/>
      <c r="L33" s="4"/>
      <c r="M33" s="4"/>
      <c r="N33" s="4"/>
      <c r="O33" s="82"/>
    </row>
    <row r="34" spans="2:15">
      <c r="B34" s="81"/>
      <c r="C34" s="31" t="s">
        <v>1073</v>
      </c>
      <c r="D34" s="7">
        <v>61719</v>
      </c>
      <c r="E34" s="7">
        <v>3926</v>
      </c>
      <c r="F34" s="7">
        <v>65645</v>
      </c>
      <c r="G34" s="17">
        <f>GETPIVOTDATA("Ind.",$C$31,"Period","In_2014")/GETPIVOTDATA("Ind.",$C$31)</f>
        <v>0.33013649027871378</v>
      </c>
      <c r="H34" s="4"/>
      <c r="I34" s="17"/>
      <c r="J34" s="4"/>
      <c r="K34" s="4"/>
      <c r="L34" s="4"/>
      <c r="M34" s="4"/>
      <c r="N34" s="4"/>
      <c r="O34" s="82"/>
    </row>
    <row r="35" spans="2:15">
      <c r="B35" s="81"/>
      <c r="C35" s="31" t="s">
        <v>1072</v>
      </c>
      <c r="D35" s="7">
        <v>46374</v>
      </c>
      <c r="E35" s="7">
        <v>2295</v>
      </c>
      <c r="F35" s="7">
        <v>48669</v>
      </c>
      <c r="G35" s="17">
        <f>GETPIVOTDATA("Ind.",$C$31,"Period","January_August_2015")/GETPIVOTDATA("Ind.",$C$31)</f>
        <v>0.24476217298156325</v>
      </c>
      <c r="H35" s="4"/>
      <c r="I35" s="17"/>
      <c r="J35" s="4"/>
      <c r="K35" s="4"/>
      <c r="L35" s="4"/>
      <c r="M35" s="4"/>
      <c r="N35" s="4"/>
      <c r="O35" s="82"/>
    </row>
    <row r="36" spans="2:15">
      <c r="B36" s="81"/>
      <c r="C36" s="31" t="s">
        <v>1076</v>
      </c>
      <c r="D36" s="7">
        <v>39232</v>
      </c>
      <c r="E36" s="7">
        <v>1898</v>
      </c>
      <c r="F36" s="7">
        <v>41130</v>
      </c>
      <c r="G36" s="17">
        <f>GETPIVOTDATA("Ind.",$C$31,"Period","September_November_2015")/GETPIVOTDATA("Ind.",$C$31)</f>
        <v>0.20684764788123233</v>
      </c>
      <c r="H36" s="4"/>
      <c r="I36" s="17"/>
      <c r="J36" s="4"/>
      <c r="K36" s="4"/>
      <c r="L36" s="4"/>
      <c r="M36" s="4"/>
      <c r="N36" s="4"/>
      <c r="O36" s="82"/>
    </row>
    <row r="37" spans="2:15">
      <c r="B37" s="81"/>
      <c r="C37" s="31" t="s">
        <v>1075</v>
      </c>
      <c r="D37" s="7">
        <v>14312</v>
      </c>
      <c r="E37" s="7">
        <v>122</v>
      </c>
      <c r="F37" s="7">
        <v>14434</v>
      </c>
      <c r="G37" s="17">
        <f>GETPIVOTDATA("Ind.",$C$31,"Period","December_2015_February_2016")/GETPIVOTDATA("Ind.",$C$31)</f>
        <v>7.2590297824403294E-2</v>
      </c>
      <c r="H37" s="4"/>
      <c r="I37" s="17"/>
      <c r="J37" s="4"/>
      <c r="K37" s="4"/>
      <c r="L37" s="4"/>
      <c r="M37" s="4"/>
      <c r="N37" s="4"/>
      <c r="O37" s="82"/>
    </row>
    <row r="38" spans="2:15">
      <c r="B38" s="81"/>
      <c r="C38" s="31" t="s">
        <v>1077</v>
      </c>
      <c r="D38" s="7">
        <v>8528</v>
      </c>
      <c r="E38" s="7"/>
      <c r="F38" s="7">
        <v>8528</v>
      </c>
      <c r="G38" s="17">
        <f>GETPIVOTDATA("Ind.",$C$31,"Period","March_April_2016")/GETPIVOTDATA("Ind.",$C$31)</f>
        <v>4.2888323392442237E-2</v>
      </c>
      <c r="H38" s="4"/>
      <c r="I38" s="17"/>
      <c r="J38" s="4"/>
      <c r="K38" s="4"/>
      <c r="L38" s="4"/>
      <c r="M38" s="4"/>
      <c r="N38" s="4"/>
      <c r="O38" s="82"/>
    </row>
    <row r="39" spans="2:15">
      <c r="B39" s="81"/>
      <c r="C39" s="31" t="s">
        <v>1220</v>
      </c>
      <c r="D39" s="7">
        <v>190591</v>
      </c>
      <c r="E39" s="7">
        <v>8251</v>
      </c>
      <c r="F39" s="7">
        <v>198842</v>
      </c>
      <c r="G39" s="35">
        <f>SUM(G33:G38)</f>
        <v>1</v>
      </c>
      <c r="H39" s="4"/>
      <c r="I39" s="17"/>
      <c r="J39" s="4"/>
      <c r="K39" s="4"/>
      <c r="L39" s="4"/>
      <c r="M39" s="4"/>
      <c r="N39" s="4"/>
      <c r="O39" s="82"/>
    </row>
    <row r="40" spans="2:15">
      <c r="B40" s="81"/>
      <c r="C40" s="86"/>
      <c r="D40" s="41"/>
      <c r="E40" s="136"/>
      <c r="F40" s="40"/>
      <c r="G40" s="86"/>
      <c r="H40" s="41"/>
      <c r="I40" s="41"/>
      <c r="J40" s="41"/>
      <c r="K40" s="4"/>
      <c r="L40" s="4"/>
      <c r="M40" s="4"/>
      <c r="N40" s="4"/>
      <c r="O40" s="82"/>
    </row>
    <row r="41" spans="2:15">
      <c r="B41" s="81"/>
      <c r="C41" s="86"/>
      <c r="D41" s="41"/>
      <c r="E41" s="87"/>
      <c r="F41" s="40"/>
      <c r="G41" s="86"/>
      <c r="H41" s="41"/>
      <c r="I41" s="41"/>
      <c r="J41" s="41"/>
      <c r="K41" s="4"/>
      <c r="L41" s="4"/>
      <c r="M41" s="4"/>
      <c r="N41" s="4"/>
      <c r="O41" s="82"/>
    </row>
    <row r="42" spans="2:15">
      <c r="B42" s="81"/>
      <c r="C42" s="184" t="s">
        <v>1196</v>
      </c>
      <c r="D42" s="184"/>
      <c r="E42" s="184"/>
      <c r="F42" s="184"/>
      <c r="G42" s="184"/>
      <c r="H42" s="88"/>
      <c r="I42" s="41"/>
      <c r="J42" s="41"/>
      <c r="K42" s="4"/>
      <c r="L42" s="4"/>
      <c r="M42" s="4"/>
      <c r="N42" s="4"/>
      <c r="O42" s="82"/>
    </row>
    <row r="43" spans="2:15" ht="15" customHeight="1">
      <c r="B43" s="81"/>
      <c r="C43" s="185" t="s">
        <v>1197</v>
      </c>
      <c r="D43" s="187" t="s">
        <v>1</v>
      </c>
      <c r="E43" s="188"/>
      <c r="F43" s="189" t="s">
        <v>1065</v>
      </c>
      <c r="G43" s="189"/>
      <c r="H43" s="189" t="s">
        <v>1053</v>
      </c>
      <c r="I43" s="189"/>
      <c r="J43" s="41"/>
      <c r="K43" s="4"/>
      <c r="L43" s="4"/>
      <c r="M43" s="4"/>
      <c r="N43" s="4"/>
      <c r="O43" s="82"/>
    </row>
    <row r="44" spans="2:15">
      <c r="B44" s="81"/>
      <c r="C44" s="186"/>
      <c r="D44" s="89" t="s">
        <v>1198</v>
      </c>
      <c r="E44" s="69" t="s">
        <v>407</v>
      </c>
      <c r="F44" s="89" t="s">
        <v>1198</v>
      </c>
      <c r="G44" s="69" t="s">
        <v>407</v>
      </c>
      <c r="H44" s="89" t="s">
        <v>1198</v>
      </c>
      <c r="I44" s="69" t="s">
        <v>407</v>
      </c>
      <c r="J44" s="41"/>
      <c r="K44" s="4"/>
      <c r="L44" s="4"/>
      <c r="M44" s="4"/>
      <c r="N44" s="4"/>
      <c r="O44" s="82"/>
    </row>
    <row r="45" spans="2:15">
      <c r="B45" s="81"/>
      <c r="C45" s="91" t="s">
        <v>1052</v>
      </c>
      <c r="D45" s="92">
        <f>GETPIVOTDATA("Ind.",$C$31,"Displacement Type","IDP","Period","Before_2014")</f>
        <v>20426</v>
      </c>
      <c r="E45" s="93">
        <f>D45/D49</f>
        <v>0.10717190213598754</v>
      </c>
      <c r="F45" s="94">
        <f>GETPIVOTDATA("Ind.",$C$31,"Displacement Type","Unregistered Refugees","Period","Before_2014")</f>
        <v>10</v>
      </c>
      <c r="G45" s="93">
        <f>F45/F49</f>
        <v>1.2119743061447098E-3</v>
      </c>
      <c r="H45" s="144">
        <f>D45+F45</f>
        <v>20436</v>
      </c>
      <c r="I45" s="93">
        <f>H45/H49</f>
        <v>0.10277506764164512</v>
      </c>
      <c r="J45" s="41"/>
      <c r="K45" s="4"/>
      <c r="L45" s="4"/>
      <c r="M45" s="4"/>
      <c r="N45" s="4"/>
      <c r="O45" s="82"/>
    </row>
    <row r="46" spans="2:15">
      <c r="B46" s="81"/>
      <c r="C46" s="91">
        <v>2014</v>
      </c>
      <c r="D46" s="92">
        <f>GETPIVOTDATA("Ind.",$C$31,"Displacement Type","IDP","Period","In_2014")</f>
        <v>61719</v>
      </c>
      <c r="E46" s="93">
        <f>D46/D49</f>
        <v>0.32382956173166622</v>
      </c>
      <c r="F46" s="92">
        <f>GETPIVOTDATA("Ind.",$C$31,"Displacement Type","Unregistered Refugees","Period","In_2014")</f>
        <v>3926</v>
      </c>
      <c r="G46" s="93">
        <f>F46/F49</f>
        <v>0.47582111259241305</v>
      </c>
      <c r="H46" s="144">
        <f t="shared" ref="H46:H48" si="2">D46+F46</f>
        <v>65645</v>
      </c>
      <c r="I46" s="93">
        <f>H46/H49</f>
        <v>0.33013649027871378</v>
      </c>
      <c r="J46" s="41"/>
      <c r="K46" s="4"/>
      <c r="L46" s="4"/>
      <c r="M46" s="4"/>
      <c r="N46" s="4"/>
      <c r="O46" s="82"/>
    </row>
    <row r="47" spans="2:15">
      <c r="B47" s="81"/>
      <c r="C47" s="91">
        <v>2015</v>
      </c>
      <c r="D47" s="92">
        <f>SUM(D35:D36)</f>
        <v>85606</v>
      </c>
      <c r="E47" s="93">
        <f>D47/D49</f>
        <v>0.4491607683468789</v>
      </c>
      <c r="F47" s="92">
        <f>SUM(E35:E36)</f>
        <v>4193</v>
      </c>
      <c r="G47" s="93">
        <f>F47/F49</f>
        <v>0.50818082656647678</v>
      </c>
      <c r="H47" s="144">
        <f t="shared" si="2"/>
        <v>89799</v>
      </c>
      <c r="I47" s="93">
        <f>H47/H49</f>
        <v>0.45160982086279561</v>
      </c>
      <c r="J47" s="41"/>
      <c r="K47" s="4"/>
      <c r="L47" s="4"/>
      <c r="M47" s="4"/>
      <c r="N47" s="4"/>
      <c r="O47" s="82"/>
    </row>
    <row r="48" spans="2:15">
      <c r="B48" s="81"/>
      <c r="C48" s="91">
        <v>2016</v>
      </c>
      <c r="D48" s="92">
        <f>SUM(D37:D38)</f>
        <v>22840</v>
      </c>
      <c r="E48" s="93">
        <f>D48/D49</f>
        <v>0.11983776778546731</v>
      </c>
      <c r="F48" s="92">
        <f>SUM(E37:E38)</f>
        <v>122</v>
      </c>
      <c r="G48" s="93">
        <f>F48/F49</f>
        <v>1.4786086534965459E-2</v>
      </c>
      <c r="H48" s="144">
        <f t="shared" si="2"/>
        <v>22962</v>
      </c>
      <c r="I48" s="93">
        <f>H48/H49</f>
        <v>0.11547862121684553</v>
      </c>
      <c r="J48" s="41"/>
      <c r="K48" s="4"/>
      <c r="L48" s="4"/>
      <c r="M48" s="4"/>
      <c r="N48" s="4"/>
      <c r="O48" s="82"/>
    </row>
    <row r="49" spans="2:16">
      <c r="B49" s="81"/>
      <c r="C49" s="91" t="s">
        <v>1053</v>
      </c>
      <c r="D49" s="95">
        <f>SUM(D45:D48)</f>
        <v>190591</v>
      </c>
      <c r="E49" s="96">
        <f>SUM(E45:E48)</f>
        <v>0.99999999999999989</v>
      </c>
      <c r="F49" s="95">
        <f>SUM(F45:F48)</f>
        <v>8251</v>
      </c>
      <c r="G49" s="96">
        <f>SUM(G45:G48)</f>
        <v>1</v>
      </c>
      <c r="H49" s="95">
        <f>D49+F49</f>
        <v>198842</v>
      </c>
      <c r="I49" s="96">
        <f>SUM(I45:I48)</f>
        <v>1</v>
      </c>
      <c r="J49" s="40"/>
      <c r="K49" s="4"/>
      <c r="L49" s="4"/>
      <c r="M49" s="4"/>
      <c r="N49" s="4"/>
      <c r="O49" s="82"/>
    </row>
    <row r="50" spans="2:16">
      <c r="B50" s="81"/>
      <c r="C50" s="90"/>
      <c r="D50" s="101"/>
      <c r="E50" s="102"/>
      <c r="F50" s="101"/>
      <c r="G50" s="102"/>
      <c r="H50" s="40"/>
      <c r="I50" s="40"/>
      <c r="J50" s="40"/>
      <c r="K50" s="4"/>
      <c r="L50" s="4"/>
      <c r="M50" s="4"/>
      <c r="N50" s="4"/>
      <c r="O50" s="82"/>
    </row>
    <row r="51" spans="2:16">
      <c r="B51" s="83"/>
      <c r="C51" s="97"/>
      <c r="D51" s="98"/>
      <c r="E51" s="99"/>
      <c r="F51" s="98"/>
      <c r="G51" s="99"/>
      <c r="H51" s="100"/>
      <c r="I51" s="100"/>
      <c r="J51" s="100"/>
      <c r="K51" s="84"/>
      <c r="L51" s="84"/>
      <c r="M51" s="84"/>
      <c r="N51" s="84"/>
      <c r="O51" s="85"/>
    </row>
    <row r="52" spans="2:16">
      <c r="C52" s="90"/>
      <c r="D52" s="101"/>
      <c r="E52" s="102"/>
      <c r="F52" s="101"/>
      <c r="G52" s="102"/>
      <c r="H52" s="40"/>
      <c r="I52" s="61"/>
      <c r="J52" s="61"/>
    </row>
    <row r="53" spans="2:16" ht="15.75">
      <c r="B53" s="181" t="s">
        <v>1209</v>
      </c>
      <c r="C53" s="182"/>
      <c r="D53" s="182"/>
      <c r="E53" s="182"/>
      <c r="F53" s="182"/>
      <c r="G53" s="182"/>
      <c r="H53" s="183"/>
      <c r="I53" s="114"/>
      <c r="J53" s="181" t="s">
        <v>1210</v>
      </c>
      <c r="K53" s="182"/>
      <c r="L53" s="182"/>
      <c r="M53" s="182"/>
      <c r="N53" s="182"/>
      <c r="O53" s="183"/>
    </row>
    <row r="54" spans="2:16">
      <c r="B54" s="81"/>
      <c r="C54" s="4"/>
      <c r="D54" s="4"/>
      <c r="E54" s="4"/>
      <c r="F54" s="4"/>
      <c r="G54" s="4"/>
      <c r="H54" s="82"/>
      <c r="I54" s="4"/>
      <c r="J54" s="81"/>
      <c r="K54" s="4"/>
      <c r="L54" s="4"/>
      <c r="M54" s="4"/>
      <c r="N54" s="4"/>
      <c r="O54" s="82"/>
    </row>
    <row r="55" spans="2:16">
      <c r="B55" s="81"/>
      <c r="C55" s="119" t="s">
        <v>1207</v>
      </c>
      <c r="D55" s="120" t="s">
        <v>1036</v>
      </c>
      <c r="E55" s="121"/>
      <c r="F55" s="121"/>
      <c r="G55" s="122"/>
      <c r="H55" s="82"/>
      <c r="I55" s="4"/>
      <c r="J55" s="81"/>
      <c r="K55" s="4" t="s">
        <v>1204</v>
      </c>
      <c r="L55" s="4" t="s">
        <v>1</v>
      </c>
      <c r="M55" s="4" t="s">
        <v>1065</v>
      </c>
      <c r="N55" s="4" t="s">
        <v>1066</v>
      </c>
      <c r="O55" s="82"/>
    </row>
    <row r="56" spans="2:16">
      <c r="B56" s="81"/>
      <c r="C56" s="123" t="s">
        <v>1037</v>
      </c>
      <c r="D56" s="133" t="s">
        <v>1</v>
      </c>
      <c r="E56" s="133" t="s">
        <v>1066</v>
      </c>
      <c r="F56" s="133" t="s">
        <v>1065</v>
      </c>
      <c r="G56" s="124" t="s">
        <v>1038</v>
      </c>
      <c r="H56" s="82"/>
      <c r="I56" s="4"/>
      <c r="J56" s="81"/>
      <c r="K56" s="4" t="s">
        <v>1211</v>
      </c>
      <c r="L56" s="7">
        <v>158316</v>
      </c>
      <c r="M56" s="7">
        <v>11482</v>
      </c>
      <c r="N56" s="7">
        <v>30585</v>
      </c>
      <c r="O56" s="82"/>
    </row>
    <row r="57" spans="2:16">
      <c r="B57" s="81"/>
      <c r="C57" s="128" t="s">
        <v>11</v>
      </c>
      <c r="D57" s="129">
        <v>3610</v>
      </c>
      <c r="E57" s="129">
        <v>168</v>
      </c>
      <c r="F57" s="129"/>
      <c r="G57" s="130">
        <v>3778</v>
      </c>
      <c r="H57" s="82"/>
      <c r="I57" s="4"/>
      <c r="J57" s="81"/>
      <c r="K57" s="4" t="s">
        <v>1212</v>
      </c>
      <c r="L57" s="7">
        <v>169970</v>
      </c>
      <c r="M57" s="7">
        <v>8108</v>
      </c>
      <c r="N57" s="7">
        <v>35434</v>
      </c>
      <c r="O57" s="82"/>
    </row>
    <row r="58" spans="2:16">
      <c r="B58" s="81"/>
      <c r="C58" s="115" t="s">
        <v>26</v>
      </c>
      <c r="D58" s="7">
        <v>57</v>
      </c>
      <c r="E58" s="7"/>
      <c r="F58" s="7"/>
      <c r="G58" s="107">
        <v>57</v>
      </c>
      <c r="H58" s="82"/>
      <c r="I58" s="4"/>
      <c r="J58" s="81"/>
      <c r="K58" s="4" t="s">
        <v>1213</v>
      </c>
      <c r="L58" s="7">
        <v>190591</v>
      </c>
      <c r="M58" s="7">
        <v>8251</v>
      </c>
      <c r="N58" s="7">
        <v>39833</v>
      </c>
      <c r="O58" s="82"/>
    </row>
    <row r="59" spans="2:16">
      <c r="B59" s="81"/>
      <c r="C59" s="115" t="s">
        <v>12</v>
      </c>
      <c r="D59" s="7"/>
      <c r="E59" s="7">
        <v>168</v>
      </c>
      <c r="F59" s="7"/>
      <c r="G59" s="107">
        <v>168</v>
      </c>
      <c r="H59" s="82"/>
      <c r="I59" s="4"/>
      <c r="J59" s="81"/>
      <c r="K59" s="4"/>
      <c r="L59" s="4"/>
      <c r="M59" s="4"/>
      <c r="N59" s="4"/>
      <c r="O59" s="82"/>
      <c r="P59" s="6"/>
    </row>
    <row r="60" spans="2:16">
      <c r="B60" s="81"/>
      <c r="C60" s="115" t="s">
        <v>30</v>
      </c>
      <c r="D60" s="7">
        <v>117</v>
      </c>
      <c r="E60" s="7"/>
      <c r="F60" s="7"/>
      <c r="G60" s="107">
        <v>117</v>
      </c>
      <c r="H60" s="82"/>
      <c r="I60" s="4"/>
      <c r="J60" s="81"/>
      <c r="K60" s="4"/>
      <c r="L60" s="4"/>
      <c r="M60" s="4"/>
      <c r="N60" s="4"/>
      <c r="O60" s="82"/>
      <c r="P60" s="6"/>
    </row>
    <row r="61" spans="2:16">
      <c r="B61" s="81"/>
      <c r="C61" s="115" t="s">
        <v>34</v>
      </c>
      <c r="D61" s="7">
        <v>270</v>
      </c>
      <c r="E61" s="7"/>
      <c r="F61" s="7"/>
      <c r="G61" s="107">
        <v>270</v>
      </c>
      <c r="H61" s="82"/>
      <c r="I61" s="4"/>
      <c r="J61" s="81"/>
      <c r="K61" s="4"/>
      <c r="L61" s="4"/>
      <c r="M61" s="4"/>
      <c r="N61" s="4"/>
      <c r="O61" s="82"/>
      <c r="P61" s="6"/>
    </row>
    <row r="62" spans="2:16">
      <c r="B62" s="81"/>
      <c r="C62" s="115" t="s">
        <v>24</v>
      </c>
      <c r="D62" s="7">
        <v>365</v>
      </c>
      <c r="E62" s="7"/>
      <c r="F62" s="7"/>
      <c r="G62" s="107">
        <v>365</v>
      </c>
      <c r="H62" s="82"/>
      <c r="I62" s="4"/>
      <c r="J62" s="81"/>
      <c r="K62" s="4"/>
      <c r="L62" s="4"/>
      <c r="M62" s="4"/>
      <c r="N62" s="4"/>
      <c r="O62" s="82"/>
    </row>
    <row r="63" spans="2:16">
      <c r="B63" s="81"/>
      <c r="C63" s="115" t="s">
        <v>23</v>
      </c>
      <c r="D63" s="7">
        <v>105</v>
      </c>
      <c r="E63" s="7"/>
      <c r="F63" s="7"/>
      <c r="G63" s="107">
        <v>105</v>
      </c>
      <c r="H63" s="82"/>
      <c r="I63" s="4"/>
      <c r="J63" s="81"/>
      <c r="K63" s="4"/>
      <c r="L63" s="4"/>
      <c r="M63" s="4"/>
      <c r="N63" s="4"/>
      <c r="O63" s="82"/>
    </row>
    <row r="64" spans="2:16">
      <c r="B64" s="81"/>
      <c r="C64" s="115" t="s">
        <v>133</v>
      </c>
      <c r="D64" s="7">
        <v>2696</v>
      </c>
      <c r="E64" s="7"/>
      <c r="F64" s="7"/>
      <c r="G64" s="107">
        <v>2696</v>
      </c>
      <c r="H64" s="116"/>
      <c r="I64" s="41"/>
      <c r="J64" s="81"/>
      <c r="K64" s="4"/>
      <c r="L64" s="4"/>
      <c r="M64" s="4"/>
      <c r="N64" s="4"/>
      <c r="O64" s="82"/>
    </row>
    <row r="65" spans="2:15">
      <c r="B65" s="81"/>
      <c r="C65" s="128" t="s">
        <v>7</v>
      </c>
      <c r="D65" s="129">
        <v>110265</v>
      </c>
      <c r="E65" s="129">
        <v>25986</v>
      </c>
      <c r="F65" s="129">
        <v>6880</v>
      </c>
      <c r="G65" s="130">
        <v>143131</v>
      </c>
      <c r="H65" s="116"/>
      <c r="I65" s="41"/>
      <c r="J65" s="81"/>
      <c r="K65" s="4"/>
      <c r="L65" s="4"/>
      <c r="M65" s="4"/>
      <c r="N65" s="4"/>
      <c r="O65" s="82"/>
    </row>
    <row r="66" spans="2:15">
      <c r="B66" s="81"/>
      <c r="C66" s="115" t="s">
        <v>18</v>
      </c>
      <c r="D66" s="7">
        <v>6888</v>
      </c>
      <c r="E66" s="7">
        <v>406</v>
      </c>
      <c r="F66" s="7"/>
      <c r="G66" s="107">
        <v>7294</v>
      </c>
      <c r="H66" s="117"/>
      <c r="I66" s="41"/>
      <c r="J66" s="81"/>
      <c r="K66" s="4"/>
      <c r="L66" s="4"/>
      <c r="M66" s="4"/>
      <c r="N66" s="4"/>
      <c r="O66" s="82"/>
    </row>
    <row r="67" spans="2:15">
      <c r="B67" s="81"/>
      <c r="C67" s="115" t="s">
        <v>15</v>
      </c>
      <c r="D67" s="7">
        <v>10120</v>
      </c>
      <c r="E67" s="7"/>
      <c r="F67" s="7"/>
      <c r="G67" s="107">
        <v>10120</v>
      </c>
      <c r="H67" s="112"/>
      <c r="I67" s="41"/>
      <c r="J67" s="81"/>
      <c r="K67" s="4"/>
      <c r="L67" s="4"/>
      <c r="M67" s="4"/>
      <c r="N67" s="4"/>
      <c r="O67" s="82"/>
    </row>
    <row r="68" spans="2:15">
      <c r="B68" s="81"/>
      <c r="C68" s="115" t="s">
        <v>21</v>
      </c>
      <c r="D68" s="7">
        <v>11350</v>
      </c>
      <c r="E68" s="7">
        <v>10140</v>
      </c>
      <c r="F68" s="7">
        <v>5000</v>
      </c>
      <c r="G68" s="107">
        <v>26490</v>
      </c>
      <c r="H68" s="113"/>
      <c r="I68" s="41"/>
      <c r="J68" s="81"/>
      <c r="K68" s="4"/>
      <c r="L68" s="4"/>
      <c r="M68" s="4"/>
      <c r="N68" s="4"/>
      <c r="O68" s="82"/>
    </row>
    <row r="69" spans="2:15">
      <c r="B69" s="81"/>
      <c r="C69" s="115" t="s">
        <v>19</v>
      </c>
      <c r="D69" s="7">
        <v>2229</v>
      </c>
      <c r="E69" s="7"/>
      <c r="F69" s="7"/>
      <c r="G69" s="107">
        <v>2229</v>
      </c>
      <c r="H69" s="116"/>
      <c r="I69" s="41"/>
      <c r="J69" s="81"/>
      <c r="K69" s="4"/>
      <c r="L69" s="4"/>
      <c r="M69" s="4"/>
      <c r="N69" s="4"/>
      <c r="O69" s="82"/>
    </row>
    <row r="70" spans="2:15">
      <c r="B70" s="81"/>
      <c r="C70" s="115" t="s">
        <v>135</v>
      </c>
      <c r="D70" s="7">
        <v>6920</v>
      </c>
      <c r="E70" s="7">
        <v>1525</v>
      </c>
      <c r="F70" s="7"/>
      <c r="G70" s="107">
        <v>8445</v>
      </c>
      <c r="H70" s="116"/>
      <c r="I70" s="41"/>
      <c r="J70" s="81"/>
      <c r="K70" s="4"/>
      <c r="L70" s="4"/>
      <c r="M70" s="4"/>
      <c r="N70" s="4"/>
      <c r="O70" s="82"/>
    </row>
    <row r="71" spans="2:15">
      <c r="B71" s="81"/>
      <c r="C71" s="115" t="s">
        <v>134</v>
      </c>
      <c r="D71" s="7">
        <v>18885</v>
      </c>
      <c r="E71" s="7"/>
      <c r="F71" s="7"/>
      <c r="G71" s="107">
        <v>18885</v>
      </c>
      <c r="H71" s="116"/>
      <c r="I71" s="41"/>
      <c r="J71" s="81"/>
      <c r="K71" s="4"/>
      <c r="L71" s="4"/>
      <c r="M71" s="4"/>
      <c r="N71" s="4"/>
      <c r="O71" s="82"/>
    </row>
    <row r="72" spans="2:15">
      <c r="B72" s="81"/>
      <c r="C72" s="115" t="s">
        <v>32</v>
      </c>
      <c r="D72" s="7">
        <v>6933</v>
      </c>
      <c r="E72" s="7">
        <v>490</v>
      </c>
      <c r="F72" s="7"/>
      <c r="G72" s="107">
        <v>7423</v>
      </c>
      <c r="H72" s="116"/>
      <c r="I72" s="41"/>
      <c r="J72" s="81"/>
      <c r="K72" s="4"/>
      <c r="L72" s="4"/>
      <c r="M72" s="4"/>
      <c r="N72" s="4"/>
      <c r="O72" s="82"/>
    </row>
    <row r="73" spans="2:15">
      <c r="B73" s="81"/>
      <c r="C73" s="115" t="s">
        <v>8</v>
      </c>
      <c r="D73" s="7">
        <v>36700</v>
      </c>
      <c r="E73" s="7">
        <v>5300</v>
      </c>
      <c r="F73" s="7"/>
      <c r="G73" s="107">
        <v>42000</v>
      </c>
      <c r="H73" s="118"/>
      <c r="I73" s="40"/>
      <c r="J73" s="81"/>
      <c r="K73" s="4"/>
      <c r="L73" s="4"/>
      <c r="M73" s="4"/>
      <c r="N73" s="4"/>
      <c r="O73" s="82"/>
    </row>
    <row r="74" spans="2:15">
      <c r="B74" s="81"/>
      <c r="C74" s="115" t="s">
        <v>25</v>
      </c>
      <c r="D74" s="7">
        <v>1665</v>
      </c>
      <c r="E74" s="7">
        <v>75</v>
      </c>
      <c r="F74" s="7">
        <v>1880</v>
      </c>
      <c r="G74" s="107">
        <v>3620</v>
      </c>
      <c r="H74" s="82"/>
      <c r="J74" s="81"/>
      <c r="K74" s="4"/>
      <c r="L74" s="4"/>
      <c r="M74" s="4"/>
      <c r="N74" s="4"/>
      <c r="O74" s="82"/>
    </row>
    <row r="75" spans="2:15">
      <c r="B75" s="81"/>
      <c r="C75" s="115" t="s">
        <v>9</v>
      </c>
      <c r="D75" s="7">
        <v>8575</v>
      </c>
      <c r="E75" s="7">
        <v>8050</v>
      </c>
      <c r="F75" s="7"/>
      <c r="G75" s="107">
        <v>16625</v>
      </c>
      <c r="H75" s="82"/>
      <c r="J75" s="81"/>
      <c r="K75" s="4"/>
      <c r="L75" s="4"/>
      <c r="M75" s="4"/>
      <c r="N75" s="4"/>
      <c r="O75" s="82"/>
    </row>
    <row r="76" spans="2:15">
      <c r="B76" s="81"/>
      <c r="C76" s="128" t="s">
        <v>10</v>
      </c>
      <c r="D76" s="129">
        <v>19434</v>
      </c>
      <c r="E76" s="129">
        <v>8947</v>
      </c>
      <c r="F76" s="129">
        <v>844</v>
      </c>
      <c r="G76" s="130">
        <v>29225</v>
      </c>
      <c r="H76" s="82"/>
      <c r="J76" s="81"/>
      <c r="K76" s="4" t="s">
        <v>1215</v>
      </c>
      <c r="L76" s="4" t="s">
        <v>1214</v>
      </c>
      <c r="M76" s="4" t="s">
        <v>1213</v>
      </c>
      <c r="N76" s="4" t="s">
        <v>1216</v>
      </c>
      <c r="O76" s="82"/>
    </row>
    <row r="77" spans="2:15">
      <c r="B77" s="81"/>
      <c r="C77" s="115" t="s">
        <v>20</v>
      </c>
      <c r="D77" s="7">
        <v>1252</v>
      </c>
      <c r="E77" s="7">
        <v>775</v>
      </c>
      <c r="F77" s="7">
        <v>235</v>
      </c>
      <c r="G77" s="107">
        <v>2262</v>
      </c>
      <c r="H77" s="82"/>
      <c r="J77" s="81"/>
      <c r="K77" s="4" t="s">
        <v>1</v>
      </c>
      <c r="L77" s="135">
        <v>169970</v>
      </c>
      <c r="M77" s="134">
        <v>190591</v>
      </c>
      <c r="N77" s="8">
        <f>(Table3[[#This Row],[Round 3 (April 2016)]]-Table3[[#This Row],[Round 2 (Feb 2016)]])/Table3[[#This Row],[Round 2 (Feb 2016)]]</f>
        <v>0.12132140966052833</v>
      </c>
      <c r="O77" s="82"/>
    </row>
    <row r="78" spans="2:15">
      <c r="B78" s="81"/>
      <c r="C78" s="115" t="s">
        <v>136</v>
      </c>
      <c r="D78" s="7">
        <v>1455</v>
      </c>
      <c r="E78" s="7">
        <v>185</v>
      </c>
      <c r="F78" s="7"/>
      <c r="G78" s="107">
        <v>1640</v>
      </c>
      <c r="H78" s="82"/>
      <c r="J78" s="81"/>
      <c r="K78" s="4" t="s">
        <v>1065</v>
      </c>
      <c r="L78" s="7">
        <v>8108</v>
      </c>
      <c r="M78" s="7">
        <v>8251</v>
      </c>
      <c r="N78" s="8">
        <f>(Table3[[#This Row],[Round 3 (April 2016)]]-Table3[[#This Row],[Round 2 (Feb 2016)]])/Table3[[#This Row],[Round 2 (Feb 2016)]]</f>
        <v>1.7636901825357671E-2</v>
      </c>
      <c r="O78" s="82"/>
    </row>
    <row r="79" spans="2:15">
      <c r="B79" s="81"/>
      <c r="C79" s="115" t="s">
        <v>137</v>
      </c>
      <c r="D79" s="7">
        <v>1795</v>
      </c>
      <c r="E79" s="7">
        <v>1495</v>
      </c>
      <c r="F79" s="7"/>
      <c r="G79" s="107">
        <v>3290</v>
      </c>
      <c r="H79" s="82"/>
      <c r="J79" s="81"/>
      <c r="K79" s="4" t="s">
        <v>1066</v>
      </c>
      <c r="L79" s="7">
        <v>35434</v>
      </c>
      <c r="M79" s="7">
        <v>39833</v>
      </c>
      <c r="N79" s="8">
        <f>(Table3[[#This Row],[Round 3 (April 2016)]]-Table3[[#This Row],[Round 2 (Feb 2016)]])/Table3[[#This Row],[Round 2 (Feb 2016)]]</f>
        <v>0.12414630016368459</v>
      </c>
      <c r="O79" s="82"/>
    </row>
    <row r="80" spans="2:15">
      <c r="B80" s="81"/>
      <c r="C80" s="115" t="s">
        <v>31</v>
      </c>
      <c r="D80" s="7">
        <v>11613</v>
      </c>
      <c r="E80" s="7">
        <v>6350</v>
      </c>
      <c r="F80" s="7"/>
      <c r="G80" s="107">
        <v>17963</v>
      </c>
      <c r="H80" s="82"/>
      <c r="J80" s="81"/>
      <c r="K80" s="4"/>
      <c r="L80" s="4"/>
      <c r="M80" s="4"/>
      <c r="N80" s="4"/>
      <c r="O80" s="82"/>
    </row>
    <row r="81" spans="2:15">
      <c r="B81" s="81"/>
      <c r="C81" s="115" t="s">
        <v>17</v>
      </c>
      <c r="D81" s="7">
        <v>2960</v>
      </c>
      <c r="E81" s="7">
        <v>125</v>
      </c>
      <c r="F81" s="7">
        <v>605</v>
      </c>
      <c r="G81" s="107">
        <v>3690</v>
      </c>
      <c r="H81" s="82"/>
      <c r="J81" s="81"/>
      <c r="K81" s="4" t="s">
        <v>1215</v>
      </c>
      <c r="L81" s="4" t="s">
        <v>1217</v>
      </c>
      <c r="M81" s="4" t="s">
        <v>1213</v>
      </c>
      <c r="N81" s="4" t="s">
        <v>1218</v>
      </c>
      <c r="O81" s="82"/>
    </row>
    <row r="82" spans="2:15">
      <c r="B82" s="81"/>
      <c r="C82" s="115" t="s">
        <v>29</v>
      </c>
      <c r="D82" s="7">
        <v>359</v>
      </c>
      <c r="E82" s="7">
        <v>17</v>
      </c>
      <c r="F82" s="7">
        <v>4</v>
      </c>
      <c r="G82" s="107">
        <v>380</v>
      </c>
      <c r="H82" s="82"/>
      <c r="J82" s="81"/>
      <c r="K82" s="4" t="s">
        <v>1</v>
      </c>
      <c r="L82" s="135">
        <v>158316</v>
      </c>
      <c r="M82" s="134">
        <v>190591</v>
      </c>
      <c r="N82" s="8">
        <f>(Table35[[#This Row],[Round 3 (April 2016)]]-Table35[[#This Row],[Round 1 (Nov 2015)]])/Table35[[#This Row],[Round 1 (Nov 2015)]]</f>
        <v>0.20386442305262892</v>
      </c>
      <c r="O82" s="82"/>
    </row>
    <row r="83" spans="2:15">
      <c r="B83" s="81"/>
      <c r="C83" s="128" t="s">
        <v>4</v>
      </c>
      <c r="D83" s="129">
        <v>258</v>
      </c>
      <c r="E83" s="129">
        <v>192</v>
      </c>
      <c r="F83" s="129">
        <v>12</v>
      </c>
      <c r="G83" s="130">
        <v>462</v>
      </c>
      <c r="H83" s="82"/>
      <c r="J83" s="81"/>
      <c r="K83" s="4" t="s">
        <v>1065</v>
      </c>
      <c r="L83" s="7">
        <v>11482</v>
      </c>
      <c r="M83" s="7">
        <v>8251</v>
      </c>
      <c r="N83" s="8">
        <f>(Table35[[#This Row],[Round 3 (April 2016)]]-Table35[[#This Row],[Round 1 (Nov 2015)]])/Table35[[#This Row],[Round 1 (Nov 2015)]]</f>
        <v>-0.28139696916913431</v>
      </c>
      <c r="O83" s="82"/>
    </row>
    <row r="84" spans="2:15">
      <c r="B84" s="81"/>
      <c r="C84" s="115" t="s">
        <v>138</v>
      </c>
      <c r="D84" s="7">
        <v>31</v>
      </c>
      <c r="E84" s="7">
        <v>13</v>
      </c>
      <c r="F84" s="7"/>
      <c r="G84" s="107">
        <v>44</v>
      </c>
      <c r="H84" s="82"/>
      <c r="J84" s="81"/>
      <c r="K84" s="4" t="s">
        <v>1066</v>
      </c>
      <c r="L84" s="7">
        <v>30585</v>
      </c>
      <c r="M84" s="7">
        <v>39833</v>
      </c>
      <c r="N84" s="8">
        <f>(Table35[[#This Row],[Round 3 (April 2016)]]-Table35[[#This Row],[Round 1 (Nov 2015)]])/Table35[[#This Row],[Round 1 (Nov 2015)]]</f>
        <v>0.30237044302762794</v>
      </c>
      <c r="O84" s="82"/>
    </row>
    <row r="85" spans="2:15">
      <c r="B85" s="81"/>
      <c r="C85" s="115" t="s">
        <v>90</v>
      </c>
      <c r="D85" s="7"/>
      <c r="E85" s="7">
        <v>36</v>
      </c>
      <c r="F85" s="7"/>
      <c r="G85" s="107">
        <v>36</v>
      </c>
      <c r="H85" s="82"/>
      <c r="J85" s="83"/>
      <c r="K85" s="84"/>
      <c r="L85" s="84"/>
      <c r="M85" s="84"/>
      <c r="N85" s="84"/>
      <c r="O85" s="85"/>
    </row>
    <row r="86" spans="2:15">
      <c r="B86" s="81"/>
      <c r="C86" s="115" t="s">
        <v>22</v>
      </c>
      <c r="D86" s="7">
        <v>45</v>
      </c>
      <c r="E86" s="7">
        <v>20</v>
      </c>
      <c r="F86" s="7"/>
      <c r="G86" s="107">
        <v>65</v>
      </c>
      <c r="H86" s="82"/>
    </row>
    <row r="87" spans="2:15" ht="15.75">
      <c r="B87" s="81"/>
      <c r="C87" s="115" t="s">
        <v>5</v>
      </c>
      <c r="D87" s="7"/>
      <c r="E87" s="7">
        <v>100</v>
      </c>
      <c r="F87" s="7">
        <v>10</v>
      </c>
      <c r="G87" s="107">
        <v>110</v>
      </c>
      <c r="H87" s="82"/>
      <c r="J87" s="145"/>
      <c r="K87" s="167" t="s">
        <v>1251</v>
      </c>
      <c r="L87" s="121"/>
      <c r="M87" s="121"/>
      <c r="N87" s="121"/>
      <c r="O87" s="122"/>
    </row>
    <row r="88" spans="2:15" ht="15.75" thickBot="1">
      <c r="B88" s="81"/>
      <c r="C88" s="115" t="s">
        <v>38</v>
      </c>
      <c r="D88" s="7">
        <v>182</v>
      </c>
      <c r="E88" s="7">
        <v>23</v>
      </c>
      <c r="F88" s="7">
        <v>2</v>
      </c>
      <c r="G88" s="107">
        <v>207</v>
      </c>
      <c r="H88" s="82"/>
      <c r="J88" s="81"/>
      <c r="K88" s="4"/>
      <c r="L88" s="4"/>
      <c r="M88" s="4"/>
      <c r="N88" s="4"/>
      <c r="O88" s="82"/>
    </row>
    <row r="89" spans="2:15">
      <c r="B89" s="81"/>
      <c r="C89" s="128" t="s">
        <v>27</v>
      </c>
      <c r="D89" s="129">
        <v>33813</v>
      </c>
      <c r="E89" s="129">
        <v>586</v>
      </c>
      <c r="F89" s="129">
        <v>515</v>
      </c>
      <c r="G89" s="130">
        <v>34914</v>
      </c>
      <c r="H89" s="82"/>
      <c r="J89" s="81"/>
      <c r="K89" s="20" t="s">
        <v>998</v>
      </c>
      <c r="L89" s="16" t="s">
        <v>1250</v>
      </c>
      <c r="M89" s="4"/>
      <c r="N89" s="4"/>
      <c r="O89" s="82"/>
    </row>
    <row r="90" spans="2:15">
      <c r="B90" s="81"/>
      <c r="C90" s="115" t="s">
        <v>33</v>
      </c>
      <c r="D90" s="7">
        <v>6400</v>
      </c>
      <c r="E90" s="7"/>
      <c r="F90" s="7">
        <v>515</v>
      </c>
      <c r="G90" s="107">
        <v>6915</v>
      </c>
      <c r="H90" s="82"/>
      <c r="J90" s="81"/>
      <c r="K90" s="21" t="s">
        <v>11</v>
      </c>
      <c r="L90" s="18">
        <v>46</v>
      </c>
      <c r="M90" s="4"/>
      <c r="N90" s="4"/>
      <c r="O90" s="82"/>
    </row>
    <row r="91" spans="2:15">
      <c r="B91" s="81"/>
      <c r="C91" s="115" t="s">
        <v>28</v>
      </c>
      <c r="D91" s="7">
        <v>23556</v>
      </c>
      <c r="E91" s="7">
        <v>449</v>
      </c>
      <c r="F91" s="7"/>
      <c r="G91" s="107">
        <v>24005</v>
      </c>
      <c r="H91" s="82"/>
      <c r="J91" s="81"/>
      <c r="K91" s="21" t="s">
        <v>7</v>
      </c>
      <c r="L91" s="18">
        <v>217</v>
      </c>
      <c r="M91" s="4"/>
      <c r="N91" s="4"/>
      <c r="O91" s="82"/>
    </row>
    <row r="92" spans="2:15">
      <c r="B92" s="81"/>
      <c r="C92" s="115" t="s">
        <v>139</v>
      </c>
      <c r="D92" s="7">
        <v>3857</v>
      </c>
      <c r="E92" s="7">
        <v>137</v>
      </c>
      <c r="F92" s="7"/>
      <c r="G92" s="107">
        <v>3994</v>
      </c>
      <c r="H92" s="82"/>
      <c r="J92" s="81"/>
      <c r="K92" s="21" t="s">
        <v>10</v>
      </c>
      <c r="L92" s="18">
        <v>64</v>
      </c>
      <c r="M92" s="4"/>
      <c r="N92" s="4"/>
      <c r="O92" s="82"/>
    </row>
    <row r="93" spans="2:15">
      <c r="B93" s="81"/>
      <c r="C93" s="128" t="s">
        <v>2</v>
      </c>
      <c r="D93" s="129">
        <v>23211</v>
      </c>
      <c r="E93" s="129">
        <v>3954</v>
      </c>
      <c r="F93" s="129"/>
      <c r="G93" s="130">
        <v>27165</v>
      </c>
      <c r="H93" s="82"/>
      <c r="J93" s="81"/>
      <c r="K93" s="21" t="s">
        <v>4</v>
      </c>
      <c r="L93" s="18">
        <v>18</v>
      </c>
      <c r="M93" s="4"/>
      <c r="N93" s="4"/>
      <c r="O93" s="82"/>
    </row>
    <row r="94" spans="2:15">
      <c r="B94" s="81"/>
      <c r="C94" s="115" t="s">
        <v>14</v>
      </c>
      <c r="D94" s="7">
        <v>99</v>
      </c>
      <c r="E94" s="7">
        <v>39</v>
      </c>
      <c r="F94" s="7"/>
      <c r="G94" s="107">
        <v>138</v>
      </c>
      <c r="H94" s="82"/>
      <c r="J94" s="81"/>
      <c r="K94" s="21" t="s">
        <v>27</v>
      </c>
      <c r="L94" s="18">
        <v>46</v>
      </c>
      <c r="M94" s="4"/>
      <c r="N94" s="4"/>
      <c r="O94" s="82"/>
    </row>
    <row r="95" spans="2:15">
      <c r="B95" s="81"/>
      <c r="C95" s="115" t="s">
        <v>36</v>
      </c>
      <c r="D95" s="7">
        <v>749</v>
      </c>
      <c r="E95" s="7">
        <v>63</v>
      </c>
      <c r="F95" s="7"/>
      <c r="G95" s="107">
        <v>812</v>
      </c>
      <c r="H95" s="82"/>
      <c r="J95" s="81"/>
      <c r="K95" s="21" t="s">
        <v>2</v>
      </c>
      <c r="L95" s="18">
        <v>83</v>
      </c>
      <c r="M95" s="4"/>
      <c r="N95" s="4"/>
      <c r="O95" s="82"/>
    </row>
    <row r="96" spans="2:15" ht="15.75" thickBot="1">
      <c r="B96" s="81"/>
      <c r="C96" s="115" t="s">
        <v>3</v>
      </c>
      <c r="D96" s="7">
        <v>8513</v>
      </c>
      <c r="E96" s="7">
        <v>216</v>
      </c>
      <c r="F96" s="7"/>
      <c r="G96" s="107">
        <v>8729</v>
      </c>
      <c r="H96" s="82"/>
      <c r="J96" s="81"/>
      <c r="K96" s="22" t="s">
        <v>1038</v>
      </c>
      <c r="L96" s="19">
        <v>474</v>
      </c>
      <c r="M96" s="4"/>
      <c r="N96" s="4"/>
      <c r="O96" s="82"/>
    </row>
    <row r="97" spans="2:16">
      <c r="B97" s="81"/>
      <c r="C97" s="115" t="s">
        <v>99</v>
      </c>
      <c r="D97" s="7">
        <v>4099</v>
      </c>
      <c r="E97" s="7">
        <v>1284</v>
      </c>
      <c r="F97" s="7"/>
      <c r="G97" s="107">
        <v>5383</v>
      </c>
      <c r="H97" s="82"/>
      <c r="J97" s="83"/>
      <c r="K97" s="84"/>
      <c r="L97" s="84"/>
      <c r="M97" s="84"/>
      <c r="N97" s="84"/>
      <c r="O97" s="85"/>
    </row>
    <row r="98" spans="2:16">
      <c r="B98" s="81"/>
      <c r="C98" s="115" t="s">
        <v>35</v>
      </c>
      <c r="D98" s="7">
        <v>4099</v>
      </c>
      <c r="E98" s="7">
        <v>2025</v>
      </c>
      <c r="F98" s="7"/>
      <c r="G98" s="107">
        <v>6124</v>
      </c>
      <c r="H98" s="82"/>
    </row>
    <row r="99" spans="2:16">
      <c r="B99" s="81"/>
      <c r="C99" s="115" t="s">
        <v>16</v>
      </c>
      <c r="D99" s="7">
        <v>5165</v>
      </c>
      <c r="E99" s="7">
        <v>205</v>
      </c>
      <c r="F99" s="7"/>
      <c r="G99" s="107">
        <v>5370</v>
      </c>
      <c r="H99" s="82"/>
      <c r="J99" s="145"/>
      <c r="K99" s="121"/>
      <c r="L99" s="121"/>
      <c r="M99" s="121"/>
      <c r="N99" s="121"/>
      <c r="O99" s="121"/>
      <c r="P99" s="122"/>
    </row>
    <row r="100" spans="2:16" s="4" customFormat="1" ht="15.75">
      <c r="B100" s="81"/>
      <c r="C100" s="115" t="s">
        <v>410</v>
      </c>
      <c r="D100" s="7">
        <v>487</v>
      </c>
      <c r="E100" s="7">
        <v>122</v>
      </c>
      <c r="F100" s="7"/>
      <c r="G100" s="107">
        <v>609</v>
      </c>
      <c r="H100" s="82"/>
      <c r="J100" s="81"/>
      <c r="K100" s="32" t="s">
        <v>1252</v>
      </c>
      <c r="P100" s="82"/>
    </row>
    <row r="101" spans="2:16" s="4" customFormat="1">
      <c r="B101" s="81"/>
      <c r="C101" s="125" t="s">
        <v>1038</v>
      </c>
      <c r="D101" s="126">
        <v>190591</v>
      </c>
      <c r="E101" s="126">
        <v>39833</v>
      </c>
      <c r="F101" s="126">
        <v>8251</v>
      </c>
      <c r="G101" s="127">
        <v>238675</v>
      </c>
      <c r="H101" s="82"/>
      <c r="J101" s="81"/>
      <c r="P101" s="82"/>
    </row>
    <row r="102" spans="2:16" s="4" customFormat="1">
      <c r="B102" s="83"/>
      <c r="C102" s="84"/>
      <c r="D102" s="84"/>
      <c r="E102" s="84"/>
      <c r="F102" s="84"/>
      <c r="G102" s="84"/>
      <c r="H102" s="85"/>
      <c r="J102" s="81"/>
      <c r="K102" s="104" t="s">
        <v>1155</v>
      </c>
      <c r="L102" s="4" t="s">
        <v>1065</v>
      </c>
      <c r="P102" s="82"/>
    </row>
    <row r="103" spans="2:16">
      <c r="J103" s="81"/>
      <c r="K103" s="4"/>
      <c r="L103" s="4"/>
      <c r="M103" s="4"/>
      <c r="N103" s="4"/>
      <c r="O103" s="4"/>
      <c r="P103" s="82"/>
    </row>
    <row r="104" spans="2:16">
      <c r="J104" s="81"/>
      <c r="K104" s="104" t="s">
        <v>1207</v>
      </c>
      <c r="L104" s="104" t="s">
        <v>1036</v>
      </c>
      <c r="M104" s="4"/>
      <c r="N104" s="4"/>
      <c r="O104" s="4"/>
      <c r="P104" s="82"/>
    </row>
    <row r="105" spans="2:16">
      <c r="J105" s="81"/>
      <c r="K105" s="104" t="s">
        <v>1037</v>
      </c>
      <c r="L105" s="4" t="s">
        <v>13</v>
      </c>
      <c r="M105" s="4" t="s">
        <v>402</v>
      </c>
      <c r="N105" s="4" t="s">
        <v>403</v>
      </c>
      <c r="O105" s="4" t="s">
        <v>1038</v>
      </c>
      <c r="P105" s="82"/>
    </row>
    <row r="106" spans="2:16">
      <c r="J106" s="81"/>
      <c r="K106" s="31" t="s">
        <v>1074</v>
      </c>
      <c r="L106" s="7">
        <v>10</v>
      </c>
      <c r="M106" s="7"/>
      <c r="N106" s="7"/>
      <c r="O106" s="7">
        <v>10</v>
      </c>
      <c r="P106" s="82"/>
    </row>
    <row r="107" spans="2:16">
      <c r="J107" s="81"/>
      <c r="K107" s="31" t="s">
        <v>1073</v>
      </c>
      <c r="L107" s="7"/>
      <c r="M107" s="7">
        <v>3922</v>
      </c>
      <c r="N107" s="7">
        <v>4</v>
      </c>
      <c r="O107" s="7">
        <v>3926</v>
      </c>
      <c r="P107" s="82"/>
    </row>
    <row r="108" spans="2:16">
      <c r="J108" s="81"/>
      <c r="K108" s="31" t="s">
        <v>1072</v>
      </c>
      <c r="L108" s="7"/>
      <c r="M108" s="7">
        <v>2295</v>
      </c>
      <c r="N108" s="7"/>
      <c r="O108" s="7">
        <v>2295</v>
      </c>
      <c r="P108" s="82"/>
    </row>
    <row r="109" spans="2:16">
      <c r="J109" s="81"/>
      <c r="K109" s="31" t="s">
        <v>1076</v>
      </c>
      <c r="L109" s="7"/>
      <c r="M109" s="7">
        <v>1898</v>
      </c>
      <c r="N109" s="7"/>
      <c r="O109" s="7">
        <v>1898</v>
      </c>
      <c r="P109" s="82"/>
    </row>
    <row r="110" spans="2:16">
      <c r="J110" s="81"/>
      <c r="K110" s="31" t="s">
        <v>1075</v>
      </c>
      <c r="L110" s="7"/>
      <c r="M110" s="7">
        <v>122</v>
      </c>
      <c r="N110" s="7"/>
      <c r="O110" s="7">
        <v>122</v>
      </c>
      <c r="P110" s="82"/>
    </row>
    <row r="111" spans="2:16">
      <c r="J111" s="81"/>
      <c r="K111" s="31" t="s">
        <v>1038</v>
      </c>
      <c r="L111" s="7">
        <v>10</v>
      </c>
      <c r="M111" s="7">
        <v>8237</v>
      </c>
      <c r="N111" s="7">
        <v>4</v>
      </c>
      <c r="O111" s="7">
        <v>8251</v>
      </c>
      <c r="P111" s="82"/>
    </row>
    <row r="112" spans="2:16">
      <c r="J112" s="83"/>
      <c r="K112" s="84"/>
      <c r="L112" s="84"/>
      <c r="M112" s="84"/>
      <c r="N112" s="84"/>
      <c r="O112" s="84"/>
      <c r="P112" s="85"/>
    </row>
  </sheetData>
  <mergeCells count="9">
    <mergeCell ref="B2:O2"/>
    <mergeCell ref="B53:H53"/>
    <mergeCell ref="C42:G42"/>
    <mergeCell ref="C43:C44"/>
    <mergeCell ref="D43:E43"/>
    <mergeCell ref="F43:G43"/>
    <mergeCell ref="H43:I43"/>
    <mergeCell ref="B29:O29"/>
    <mergeCell ref="J53:O53"/>
  </mergeCells>
  <pageMargins left="0.7" right="0.7" top="0.75" bottom="0.75" header="0.3" footer="0.3"/>
  <drawing r:id="rId7"/>
  <tableParts count="3"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62"/>
  <sheetViews>
    <sheetView zoomScale="55" zoomScaleNormal="55" workbookViewId="0">
      <selection activeCell="J68" sqref="J68"/>
    </sheetView>
  </sheetViews>
  <sheetFormatPr defaultRowHeight="15"/>
  <cols>
    <col min="3" max="3" width="19.85546875" customWidth="1"/>
    <col min="4" max="4" width="23.5703125" customWidth="1"/>
    <col min="5" max="5" width="8.140625" customWidth="1"/>
    <col min="6" max="6" width="7.42578125" customWidth="1"/>
    <col min="7" max="7" width="10.28515625" customWidth="1"/>
    <col min="8" max="8" width="16.28515625" customWidth="1"/>
    <col min="9" max="9" width="13.85546875" customWidth="1"/>
    <col min="10" max="10" width="33" customWidth="1"/>
    <col min="11" max="11" width="21.7109375" customWidth="1"/>
    <col min="12" max="12" width="16" customWidth="1"/>
    <col min="13" max="13" width="14" bestFit="1" customWidth="1"/>
    <col min="14" max="14" width="14.5703125" customWidth="1"/>
    <col min="15" max="15" width="18.85546875" customWidth="1"/>
    <col min="16" max="16" width="15" customWidth="1"/>
    <col min="17" max="17" width="16.140625" customWidth="1"/>
    <col min="18" max="18" width="17" bestFit="1" customWidth="1"/>
    <col min="19" max="19" width="17.28515625" bestFit="1" customWidth="1"/>
    <col min="20" max="20" width="12.42578125" bestFit="1" customWidth="1"/>
    <col min="21" max="21" width="20.140625" bestFit="1" customWidth="1"/>
    <col min="22" max="22" width="26.85546875" bestFit="1" customWidth="1"/>
    <col min="23" max="23" width="29.7109375" bestFit="1" customWidth="1"/>
    <col min="24" max="24" width="15.5703125" bestFit="1" customWidth="1"/>
    <col min="25" max="25" width="29.7109375" bestFit="1" customWidth="1"/>
    <col min="26" max="26" width="17" bestFit="1" customWidth="1"/>
    <col min="27" max="28" width="15.7109375" bestFit="1" customWidth="1"/>
    <col min="29" max="29" width="20.140625" bestFit="1" customWidth="1"/>
    <col min="30" max="30" width="26.85546875" bestFit="1" customWidth="1"/>
    <col min="31" max="31" width="29.7109375" bestFit="1" customWidth="1"/>
    <col min="32" max="32" width="17" bestFit="1" customWidth="1"/>
    <col min="33" max="33" width="18.85546875" bestFit="1" customWidth="1"/>
    <col min="34" max="34" width="11.28515625" bestFit="1" customWidth="1"/>
  </cols>
  <sheetData>
    <row r="2" spans="2:17" ht="15.75">
      <c r="B2" s="190" t="s">
        <v>1199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2:17">
      <c r="B3" s="8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2"/>
    </row>
    <row r="4" spans="2:17">
      <c r="B4" s="81"/>
      <c r="C4" s="1" t="s">
        <v>1155</v>
      </c>
      <c r="D4" t="s">
        <v>1066</v>
      </c>
      <c r="K4" s="4"/>
      <c r="L4" s="4"/>
      <c r="M4" s="4"/>
      <c r="N4" s="4"/>
      <c r="O4" s="4"/>
      <c r="P4" s="4"/>
      <c r="Q4" s="82"/>
    </row>
    <row r="5" spans="2:17">
      <c r="B5" s="81"/>
      <c r="K5" s="4"/>
      <c r="L5" s="4"/>
      <c r="M5" s="4"/>
      <c r="N5" s="4"/>
      <c r="O5" s="4"/>
      <c r="P5" s="4"/>
      <c r="Q5" s="82"/>
    </row>
    <row r="6" spans="2:17">
      <c r="B6" s="81"/>
      <c r="C6" s="1" t="s">
        <v>1207</v>
      </c>
      <c r="D6" s="1" t="s">
        <v>1036</v>
      </c>
      <c r="K6" s="4"/>
      <c r="L6" s="4"/>
      <c r="M6" s="4"/>
      <c r="N6" s="4"/>
      <c r="O6" s="4"/>
      <c r="P6" s="4"/>
      <c r="Q6" s="82"/>
    </row>
    <row r="7" spans="2:17">
      <c r="B7" s="81"/>
      <c r="C7" s="1" t="s">
        <v>1037</v>
      </c>
      <c r="D7" t="s">
        <v>11</v>
      </c>
      <c r="E7" t="s">
        <v>7</v>
      </c>
      <c r="F7" t="s">
        <v>10</v>
      </c>
      <c r="G7" t="s">
        <v>4</v>
      </c>
      <c r="H7" t="s">
        <v>27</v>
      </c>
      <c r="I7" t="s">
        <v>2</v>
      </c>
      <c r="J7" t="s">
        <v>1038</v>
      </c>
      <c r="K7" s="4"/>
      <c r="L7" s="4"/>
      <c r="M7" s="4"/>
      <c r="N7" s="4"/>
      <c r="O7" s="4"/>
      <c r="P7" s="4"/>
      <c r="Q7" s="82"/>
    </row>
    <row r="8" spans="2:17">
      <c r="B8" s="81"/>
      <c r="C8" s="2" t="s">
        <v>1074</v>
      </c>
      <c r="D8" s="6"/>
      <c r="E8" s="6">
        <v>490</v>
      </c>
      <c r="F8" s="6">
        <v>5605</v>
      </c>
      <c r="G8" s="6"/>
      <c r="H8" s="6"/>
      <c r="I8" s="6"/>
      <c r="J8" s="6">
        <v>6095</v>
      </c>
      <c r="K8" s="4"/>
      <c r="L8" s="4"/>
      <c r="M8" s="4"/>
      <c r="N8" s="4"/>
      <c r="O8" s="4"/>
      <c r="P8" s="4"/>
      <c r="Q8" s="82"/>
    </row>
    <row r="9" spans="2:17">
      <c r="B9" s="81"/>
      <c r="C9" s="2" t="s">
        <v>1073</v>
      </c>
      <c r="D9" s="6">
        <v>144</v>
      </c>
      <c r="E9" s="6">
        <v>196</v>
      </c>
      <c r="F9" s="6">
        <v>2420</v>
      </c>
      <c r="G9" s="6">
        <v>46</v>
      </c>
      <c r="H9" s="6"/>
      <c r="I9" s="6">
        <v>2381</v>
      </c>
      <c r="J9" s="6">
        <v>5187</v>
      </c>
      <c r="K9" s="4"/>
      <c r="L9" s="4"/>
      <c r="M9" s="4"/>
      <c r="N9" s="4"/>
      <c r="O9" s="4"/>
      <c r="P9" s="4"/>
      <c r="Q9" s="82"/>
    </row>
    <row r="10" spans="2:17">
      <c r="B10" s="81"/>
      <c r="C10" s="2" t="s">
        <v>1072</v>
      </c>
      <c r="D10" s="6"/>
      <c r="E10" s="6">
        <v>4535</v>
      </c>
      <c r="F10" s="6">
        <v>536</v>
      </c>
      <c r="G10" s="6">
        <v>30</v>
      </c>
      <c r="H10" s="6"/>
      <c r="I10" s="6">
        <v>639</v>
      </c>
      <c r="J10" s="6">
        <v>5740</v>
      </c>
      <c r="K10" s="4"/>
      <c r="L10" s="4"/>
      <c r="M10" s="4"/>
      <c r="N10" s="4"/>
      <c r="O10" s="4"/>
      <c r="P10" s="4"/>
      <c r="Q10" s="82"/>
    </row>
    <row r="11" spans="2:17">
      <c r="B11" s="81"/>
      <c r="C11" s="2" t="s">
        <v>1076</v>
      </c>
      <c r="D11" s="6"/>
      <c r="E11" s="6">
        <v>11965</v>
      </c>
      <c r="F11" s="6">
        <v>65</v>
      </c>
      <c r="G11" s="6">
        <v>81</v>
      </c>
      <c r="H11" s="6"/>
      <c r="I11" s="6">
        <v>225</v>
      </c>
      <c r="J11" s="6">
        <v>12336</v>
      </c>
      <c r="K11" s="4"/>
      <c r="L11" s="4"/>
      <c r="M11" s="4"/>
      <c r="N11" s="4"/>
      <c r="O11" s="4"/>
      <c r="P11" s="4"/>
      <c r="Q11" s="82"/>
    </row>
    <row r="12" spans="2:17">
      <c r="B12" s="81"/>
      <c r="C12" s="2" t="s">
        <v>1075</v>
      </c>
      <c r="D12" s="6"/>
      <c r="E12" s="6">
        <v>8800</v>
      </c>
      <c r="F12" s="6">
        <v>164</v>
      </c>
      <c r="G12" s="6">
        <v>35</v>
      </c>
      <c r="H12" s="6">
        <v>270</v>
      </c>
      <c r="I12" s="6">
        <v>208</v>
      </c>
      <c r="J12" s="6">
        <v>9477</v>
      </c>
      <c r="K12" s="4"/>
      <c r="L12" s="4"/>
      <c r="M12" s="4"/>
      <c r="N12" s="4"/>
      <c r="O12" s="4"/>
      <c r="P12" s="4"/>
      <c r="Q12" s="82"/>
    </row>
    <row r="13" spans="2:17">
      <c r="B13" s="81"/>
      <c r="C13" s="2" t="s">
        <v>1077</v>
      </c>
      <c r="D13" s="6">
        <v>24</v>
      </c>
      <c r="E13" s="6"/>
      <c r="F13" s="6">
        <v>157</v>
      </c>
      <c r="G13" s="6"/>
      <c r="H13" s="6">
        <v>316</v>
      </c>
      <c r="I13" s="6">
        <v>501</v>
      </c>
      <c r="J13" s="6">
        <v>998</v>
      </c>
      <c r="K13" s="4"/>
      <c r="L13" s="4"/>
      <c r="M13" s="4"/>
      <c r="N13" s="4"/>
      <c r="O13" s="4"/>
      <c r="P13" s="4"/>
      <c r="Q13" s="82"/>
    </row>
    <row r="14" spans="2:17">
      <c r="B14" s="81"/>
      <c r="C14" s="2" t="s">
        <v>1038</v>
      </c>
      <c r="D14" s="6">
        <v>168</v>
      </c>
      <c r="E14" s="6">
        <v>25986</v>
      </c>
      <c r="F14" s="6">
        <v>8947</v>
      </c>
      <c r="G14" s="6">
        <v>192</v>
      </c>
      <c r="H14" s="6">
        <v>586</v>
      </c>
      <c r="I14" s="6">
        <v>3954</v>
      </c>
      <c r="J14" s="6">
        <v>39833</v>
      </c>
      <c r="K14" s="4"/>
      <c r="L14" s="4"/>
      <c r="M14" s="4"/>
      <c r="N14" s="4"/>
      <c r="O14" s="4"/>
      <c r="P14" s="4"/>
      <c r="Q14" s="82"/>
    </row>
    <row r="15" spans="2:17">
      <c r="B15" s="8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2"/>
    </row>
    <row r="16" spans="2:17">
      <c r="B16" s="81"/>
      <c r="C16" s="184"/>
      <c r="D16" s="184"/>
      <c r="E16" s="184"/>
      <c r="F16" s="184"/>
      <c r="G16" s="184"/>
      <c r="H16" s="4"/>
      <c r="I16" s="4"/>
      <c r="J16" s="4"/>
      <c r="K16" s="4"/>
      <c r="L16" s="4"/>
      <c r="M16" s="4"/>
      <c r="N16" s="4"/>
      <c r="O16" s="4"/>
      <c r="P16" s="4"/>
      <c r="Q16" s="82"/>
    </row>
    <row r="17" spans="2:17">
      <c r="B17" s="81"/>
      <c r="C17" s="3" t="s">
        <v>1037</v>
      </c>
      <c r="D17" s="3" t="s">
        <v>11</v>
      </c>
      <c r="E17" s="3" t="s">
        <v>7</v>
      </c>
      <c r="F17" s="3" t="s">
        <v>10</v>
      </c>
      <c r="G17" s="3" t="s">
        <v>4</v>
      </c>
      <c r="H17" s="3" t="s">
        <v>27</v>
      </c>
      <c r="I17" s="3" t="s">
        <v>2</v>
      </c>
      <c r="J17" s="3" t="s">
        <v>1038</v>
      </c>
      <c r="K17" s="4"/>
      <c r="L17" s="4"/>
      <c r="M17" s="4"/>
      <c r="N17" s="4"/>
      <c r="O17" s="4"/>
      <c r="P17" s="4"/>
      <c r="Q17" s="82"/>
    </row>
    <row r="18" spans="2:17">
      <c r="B18" s="81"/>
      <c r="C18" s="2" t="s">
        <v>1052</v>
      </c>
      <c r="D18" s="6">
        <f>GETPIVOTDATA("Ind",$C$6,"adm2","Diamare","Period","Before_2014")</f>
        <v>0</v>
      </c>
      <c r="E18" s="6">
        <f>GETPIVOTDATA("Ind",$C$6,"adm2","Logone-Et-Chari","Period","Before_2014")</f>
        <v>490</v>
      </c>
      <c r="F18" s="6">
        <f>GETPIVOTDATA("Ind",$C$6,"adm2","Mayo-Danay","Period","Before_2014")</f>
        <v>5605</v>
      </c>
      <c r="G18" s="6">
        <f>GETPIVOTDATA("Ind",$C$6,"adm2","Mayo-Kani","Period","Before_2014")</f>
        <v>0</v>
      </c>
      <c r="H18" s="6">
        <f>GETPIVOTDATA("Ind",$C$6,"adm2","Mayo-Sava","Period","Before_2014")</f>
        <v>0</v>
      </c>
      <c r="I18" s="6">
        <f>GETPIVOTDATA("Ind",$C$6,"adm2","Mayo-Tsanaga","Period","Before_2014")</f>
        <v>0</v>
      </c>
      <c r="J18" s="150">
        <f>SUM(D18:I18)</f>
        <v>6095</v>
      </c>
      <c r="K18" s="4"/>
      <c r="L18" s="4"/>
      <c r="M18" s="4"/>
      <c r="N18" s="4"/>
      <c r="O18" s="4"/>
      <c r="P18" s="4"/>
      <c r="Q18" s="82"/>
    </row>
    <row r="19" spans="2:17">
      <c r="B19" s="81"/>
      <c r="C19" s="2" t="s">
        <v>1230</v>
      </c>
      <c r="D19" s="6">
        <f>GETPIVOTDATA("Ind",$C$6,"adm2","Diamare","Period","In_2014")</f>
        <v>144</v>
      </c>
      <c r="E19" s="6">
        <f>GETPIVOTDATA("Ind",$C$6,"adm2","Logone-Et-Chari","Period","In_2014")</f>
        <v>196</v>
      </c>
      <c r="F19" s="6">
        <f>GETPIVOTDATA("Ind",$C$6,"adm2","Mayo-Danay","Period","In_2014")</f>
        <v>2420</v>
      </c>
      <c r="G19" s="6">
        <f>GETPIVOTDATA("Ind",$C$6,"adm2","Mayo-Kani","Period","In_2014")</f>
        <v>46</v>
      </c>
      <c r="H19" s="6">
        <f>GETPIVOTDATA("Ind",$C$6,"adm2","Mayo-Sava","Period","In_2014")</f>
        <v>0</v>
      </c>
      <c r="I19" s="6">
        <f>GETPIVOTDATA("Ind",$C$6,"adm2","Mayo-Tsanaga","Period","In_2014")</f>
        <v>2381</v>
      </c>
      <c r="J19" s="150">
        <f t="shared" ref="J19:J21" si="0">SUM(D19:I19)</f>
        <v>5187</v>
      </c>
      <c r="K19" s="4"/>
      <c r="L19" s="4"/>
      <c r="M19" s="4"/>
      <c r="N19" s="4"/>
      <c r="O19" s="4"/>
      <c r="P19" s="4"/>
      <c r="Q19" s="82"/>
    </row>
    <row r="20" spans="2:17">
      <c r="B20" s="81"/>
      <c r="C20" s="2">
        <v>2015</v>
      </c>
      <c r="D20" s="6">
        <f>GETPIVOTDATA("Ind",$C$6,"adm2","Diamare","Period","January_August_2015")+GETPIVOTDATA("Ind",$C$6,"adm2","Diamare","Period","September_November_2015")</f>
        <v>0</v>
      </c>
      <c r="E20" s="6">
        <f>GETPIVOTDATA("Ind",$C$6,"adm2","Logone-Et-Chari","Period","January_August_2015")+GETPIVOTDATA("Ind",$C$6,"adm2","Logone-Et-Chari","Period","September_November_2015")</f>
        <v>16500</v>
      </c>
      <c r="F20" s="6">
        <f>GETPIVOTDATA("Ind",$C$6,"adm2","Mayo-Danay","Period","January_August_2015")+GETPIVOTDATA("Ind",$C$6,"adm2","Mayo-Danay","Period","September_November_2015")</f>
        <v>601</v>
      </c>
      <c r="G20" s="6">
        <f>GETPIVOTDATA("Ind",$C$6,"adm2","Mayo-Kani","Period","January_August_2015")+GETPIVOTDATA("Ind",$C$6,"adm2","Mayo-Kani","Period","September_November_2015")</f>
        <v>111</v>
      </c>
      <c r="H20" s="6">
        <f>GETPIVOTDATA("Ind",$C$6,"adm2","Mayo-Sava","Period","January_August_2015")+GETPIVOTDATA("Ind",$C$6,"adm2","Mayo-Sava","Period","September_November_2015")</f>
        <v>0</v>
      </c>
      <c r="I20" s="6">
        <f>GETPIVOTDATA("Ind",$C$6,"adm2","Mayo-Tsanaga","Period","January_August_2015")+GETPIVOTDATA("Ind",$C$6,"adm2","Mayo-Tsanaga","Period","September_November_2015")</f>
        <v>864</v>
      </c>
      <c r="J20" s="150">
        <f t="shared" si="0"/>
        <v>18076</v>
      </c>
      <c r="K20" s="4"/>
      <c r="L20" s="4"/>
      <c r="M20" s="4"/>
      <c r="N20" s="4"/>
      <c r="O20" s="4"/>
      <c r="P20" s="4"/>
      <c r="Q20" s="82"/>
    </row>
    <row r="21" spans="2:17">
      <c r="B21" s="81"/>
      <c r="C21" s="2">
        <v>2016</v>
      </c>
      <c r="D21" s="6">
        <f>GETPIVOTDATA("Ind",$C$6,"adm2","Diamare","Period","December_2015_February_2016")+GETPIVOTDATA("Ind",$C$6,"adm2","Diamare","Period","March_April_2016")</f>
        <v>24</v>
      </c>
      <c r="E21" s="6">
        <f>GETPIVOTDATA("Ind",$C$6,"adm2","Logone-Et-Chari","Period","December_2015_February_2016")+GETPIVOTDATA("Ind",$C$6,"adm2","Logone-Et-Chari","Period","March_April_2016")</f>
        <v>8800</v>
      </c>
      <c r="F21" s="6">
        <f>GETPIVOTDATA("Ind",$C$6,"adm2","Mayo-Danay","Period","December_2015_February_2016")+GETPIVOTDATA("Ind",$C$6,"adm2","Mayo-Danay","Period","March_April_2016")</f>
        <v>321</v>
      </c>
      <c r="G21" s="6">
        <f>GETPIVOTDATA("Ind",$C$6,"adm2","Mayo-Kani","Period","December_2015_February_2016")+GETPIVOTDATA("Ind",$C$6,"adm2","Mayo-Kani","Period","March_April_2016")</f>
        <v>35</v>
      </c>
      <c r="H21" s="6">
        <f>GETPIVOTDATA("Ind",$C$6,"adm2","Mayo-Sava","Period","December_2015_February_2016")+GETPIVOTDATA("Ind",$C$6,"adm2","Mayo-Sava","Period","March_April_2016")</f>
        <v>586</v>
      </c>
      <c r="I21" s="6">
        <f>GETPIVOTDATA("Ind",$C$6,"adm2","Mayo-Tsanaga","Period","December_2015_February_2016")+GETPIVOTDATA("Ind",$C$6,"adm2","Mayo-Tsanaga","Period","March_April_2016")</f>
        <v>709</v>
      </c>
      <c r="J21" s="150">
        <f t="shared" si="0"/>
        <v>10475</v>
      </c>
      <c r="K21" s="4"/>
      <c r="L21" s="4"/>
      <c r="M21" s="4"/>
      <c r="N21" s="4"/>
      <c r="O21" s="4"/>
      <c r="P21" s="4"/>
      <c r="Q21" s="82"/>
    </row>
    <row r="22" spans="2:17">
      <c r="B22" s="81"/>
      <c r="C22" s="5" t="s">
        <v>1038</v>
      </c>
      <c r="D22" s="74">
        <f>SUM(D18:D21)</f>
        <v>168</v>
      </c>
      <c r="E22" s="74">
        <f t="shared" ref="E22:I22" si="1">SUM(E18:E21)</f>
        <v>25986</v>
      </c>
      <c r="F22" s="74">
        <f t="shared" si="1"/>
        <v>8947</v>
      </c>
      <c r="G22" s="74">
        <f t="shared" si="1"/>
        <v>192</v>
      </c>
      <c r="H22" s="74">
        <f t="shared" si="1"/>
        <v>586</v>
      </c>
      <c r="I22" s="74">
        <f t="shared" si="1"/>
        <v>3954</v>
      </c>
      <c r="J22" s="74">
        <f>SUM(J18:J21)</f>
        <v>39833</v>
      </c>
      <c r="K22" s="4"/>
      <c r="L22" s="4"/>
      <c r="M22" s="4"/>
      <c r="N22" s="4"/>
      <c r="O22" s="4"/>
      <c r="P22" s="4"/>
      <c r="Q22" s="82"/>
    </row>
    <row r="23" spans="2:17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5" spans="2:17" ht="15.75">
      <c r="B25" s="190" t="s">
        <v>1208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2"/>
    </row>
    <row r="26" spans="2:17" ht="15.75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82"/>
    </row>
    <row r="27" spans="2:17" ht="15.75">
      <c r="B27" s="151"/>
      <c r="C27" s="152" t="s">
        <v>1247</v>
      </c>
      <c r="D27" s="152"/>
      <c r="E27" s="152"/>
      <c r="F27" s="152"/>
      <c r="G27" s="152"/>
      <c r="H27" s="152"/>
      <c r="I27" s="152"/>
      <c r="J27" s="152" t="s">
        <v>1241</v>
      </c>
      <c r="K27" s="152"/>
      <c r="L27" s="152"/>
      <c r="M27" s="152"/>
      <c r="N27" s="152"/>
      <c r="O27" s="152"/>
      <c r="P27" s="152"/>
      <c r="Q27" s="82"/>
    </row>
    <row r="28" spans="2:17">
      <c r="B28" s="81"/>
      <c r="C28" s="4"/>
      <c r="D28" s="4"/>
      <c r="E28" s="4"/>
      <c r="F28" s="4"/>
      <c r="G28" s="4"/>
      <c r="H28" s="4"/>
      <c r="I28" s="4"/>
      <c r="J28" s="104" t="s">
        <v>1155</v>
      </c>
      <c r="K28" s="4" t="s">
        <v>1066</v>
      </c>
      <c r="L28" s="4"/>
      <c r="M28" s="4"/>
      <c r="N28" s="4"/>
      <c r="O28" s="4"/>
      <c r="P28" s="4"/>
      <c r="Q28" s="82"/>
    </row>
    <row r="29" spans="2:17">
      <c r="B29" s="81"/>
      <c r="C29" s="104" t="s">
        <v>1155</v>
      </c>
      <c r="D29" s="4" t="s">
        <v>1066</v>
      </c>
      <c r="E29" s="4"/>
      <c r="F29" s="4"/>
      <c r="G29" s="4"/>
      <c r="H29" s="4"/>
      <c r="I29" s="4"/>
      <c r="J29" s="104" t="s">
        <v>1159</v>
      </c>
      <c r="K29" s="4" t="s">
        <v>6</v>
      </c>
      <c r="L29" s="4"/>
      <c r="M29" s="4"/>
      <c r="N29" s="4"/>
      <c r="O29" s="4"/>
      <c r="P29" s="4"/>
      <c r="Q29" s="82"/>
    </row>
    <row r="30" spans="2:17">
      <c r="B30" s="8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2"/>
    </row>
    <row r="31" spans="2:17">
      <c r="B31" s="81"/>
      <c r="C31" s="104" t="s">
        <v>1207</v>
      </c>
      <c r="D31" s="104" t="s">
        <v>1036</v>
      </c>
      <c r="E31" s="4"/>
      <c r="F31" s="4"/>
      <c r="G31" s="4"/>
      <c r="H31" s="4"/>
      <c r="I31" s="4"/>
      <c r="J31" s="104" t="s">
        <v>1207</v>
      </c>
      <c r="K31" s="104" t="s">
        <v>1036</v>
      </c>
      <c r="L31" s="4"/>
      <c r="M31" s="4"/>
      <c r="N31" s="4"/>
      <c r="O31" s="4"/>
      <c r="P31" s="4"/>
      <c r="Q31" s="82"/>
    </row>
    <row r="32" spans="2:17">
      <c r="B32" s="81"/>
      <c r="C32" s="104" t="s">
        <v>1037</v>
      </c>
      <c r="D32" s="4" t="s">
        <v>402</v>
      </c>
      <c r="E32" s="4" t="s">
        <v>403</v>
      </c>
      <c r="F32" s="4" t="s">
        <v>13</v>
      </c>
      <c r="G32" s="4" t="s">
        <v>6</v>
      </c>
      <c r="H32" s="4" t="s">
        <v>1038</v>
      </c>
      <c r="I32" s="4"/>
      <c r="J32" s="104" t="s">
        <v>1037</v>
      </c>
      <c r="K32" s="4" t="s">
        <v>7</v>
      </c>
      <c r="L32" s="4" t="s">
        <v>10</v>
      </c>
      <c r="M32" s="4" t="s">
        <v>4</v>
      </c>
      <c r="N32" s="4" t="s">
        <v>27</v>
      </c>
      <c r="O32" s="4" t="s">
        <v>2</v>
      </c>
      <c r="P32" s="4" t="s">
        <v>1038</v>
      </c>
      <c r="Q32" s="82"/>
    </row>
    <row r="33" spans="2:17">
      <c r="B33" s="81"/>
      <c r="C33" s="31" t="s">
        <v>1074</v>
      </c>
      <c r="D33" s="7"/>
      <c r="E33" s="7">
        <v>1545</v>
      </c>
      <c r="F33" s="7"/>
      <c r="G33" s="7">
        <v>4550</v>
      </c>
      <c r="H33" s="7">
        <v>6095</v>
      </c>
      <c r="I33" s="7"/>
      <c r="J33" s="31" t="s">
        <v>1074</v>
      </c>
      <c r="K33" s="7">
        <v>490</v>
      </c>
      <c r="L33" s="7">
        <v>4060</v>
      </c>
      <c r="M33" s="7"/>
      <c r="N33" s="7"/>
      <c r="O33" s="7"/>
      <c r="P33" s="7">
        <v>4550</v>
      </c>
      <c r="Q33" s="82"/>
    </row>
    <row r="34" spans="2:17">
      <c r="B34" s="81"/>
      <c r="C34" s="31" t="s">
        <v>1073</v>
      </c>
      <c r="D34" s="7">
        <v>2894</v>
      </c>
      <c r="E34" s="7">
        <v>219</v>
      </c>
      <c r="F34" s="7">
        <v>13</v>
      </c>
      <c r="G34" s="7">
        <v>2061</v>
      </c>
      <c r="H34" s="7">
        <v>5187</v>
      </c>
      <c r="I34" s="7"/>
      <c r="J34" s="31" t="s">
        <v>1073</v>
      </c>
      <c r="K34" s="7"/>
      <c r="L34" s="7">
        <v>2020</v>
      </c>
      <c r="M34" s="7">
        <v>23</v>
      </c>
      <c r="N34" s="7"/>
      <c r="O34" s="7">
        <v>18</v>
      </c>
      <c r="P34" s="7">
        <v>2061</v>
      </c>
      <c r="Q34" s="82"/>
    </row>
    <row r="35" spans="2:17">
      <c r="B35" s="81"/>
      <c r="C35" s="31" t="s">
        <v>1072</v>
      </c>
      <c r="D35" s="7">
        <v>330</v>
      </c>
      <c r="E35" s="7">
        <v>50</v>
      </c>
      <c r="F35" s="7"/>
      <c r="G35" s="7">
        <v>5360</v>
      </c>
      <c r="H35" s="7">
        <v>5740</v>
      </c>
      <c r="I35" s="7"/>
      <c r="J35" s="31" t="s">
        <v>1072</v>
      </c>
      <c r="K35" s="7">
        <v>4325</v>
      </c>
      <c r="L35" s="7">
        <v>486</v>
      </c>
      <c r="M35" s="7">
        <v>10</v>
      </c>
      <c r="N35" s="7"/>
      <c r="O35" s="7">
        <v>539</v>
      </c>
      <c r="P35" s="7">
        <v>5360</v>
      </c>
      <c r="Q35" s="82"/>
    </row>
    <row r="36" spans="2:17">
      <c r="B36" s="81"/>
      <c r="C36" s="31" t="s">
        <v>1076</v>
      </c>
      <c r="D36" s="7">
        <v>280</v>
      </c>
      <c r="E36" s="7"/>
      <c r="F36" s="7"/>
      <c r="G36" s="7">
        <v>12056</v>
      </c>
      <c r="H36" s="7">
        <v>12336</v>
      </c>
      <c r="I36" s="7"/>
      <c r="J36" s="31" t="s">
        <v>1076</v>
      </c>
      <c r="K36" s="7">
        <v>11965</v>
      </c>
      <c r="L36" s="7">
        <v>65</v>
      </c>
      <c r="M36" s="7">
        <v>26</v>
      </c>
      <c r="N36" s="7"/>
      <c r="O36" s="7"/>
      <c r="P36" s="7">
        <v>12056</v>
      </c>
      <c r="Q36" s="82"/>
    </row>
    <row r="37" spans="2:17">
      <c r="B37" s="81"/>
      <c r="C37" s="31" t="s">
        <v>1075</v>
      </c>
      <c r="D37" s="7">
        <v>344</v>
      </c>
      <c r="E37" s="7"/>
      <c r="F37" s="7"/>
      <c r="G37" s="7">
        <v>9133</v>
      </c>
      <c r="H37" s="7">
        <v>9477</v>
      </c>
      <c r="I37" s="7"/>
      <c r="J37" s="31" t="s">
        <v>1075</v>
      </c>
      <c r="K37" s="7">
        <v>8800</v>
      </c>
      <c r="L37" s="7"/>
      <c r="M37" s="7">
        <v>20</v>
      </c>
      <c r="N37" s="7">
        <v>270</v>
      </c>
      <c r="O37" s="7">
        <v>43</v>
      </c>
      <c r="P37" s="7">
        <v>9133</v>
      </c>
      <c r="Q37" s="82"/>
    </row>
    <row r="38" spans="2:17">
      <c r="B38" s="81"/>
      <c r="C38" s="31" t="s">
        <v>1077</v>
      </c>
      <c r="D38" s="7"/>
      <c r="E38" s="7"/>
      <c r="F38" s="7">
        <v>24</v>
      </c>
      <c r="G38" s="7">
        <v>974</v>
      </c>
      <c r="H38" s="7">
        <v>998</v>
      </c>
      <c r="I38" s="7"/>
      <c r="J38" s="31" t="s">
        <v>1077</v>
      </c>
      <c r="K38" s="7"/>
      <c r="L38" s="7">
        <v>157</v>
      </c>
      <c r="M38" s="7"/>
      <c r="N38" s="7">
        <v>316</v>
      </c>
      <c r="O38" s="7">
        <v>501</v>
      </c>
      <c r="P38" s="7">
        <v>974</v>
      </c>
      <c r="Q38" s="82"/>
    </row>
    <row r="39" spans="2:17">
      <c r="B39" s="81"/>
      <c r="C39" s="31" t="s">
        <v>1038</v>
      </c>
      <c r="D39" s="7">
        <v>3848</v>
      </c>
      <c r="E39" s="7">
        <v>1814</v>
      </c>
      <c r="F39" s="7">
        <v>37</v>
      </c>
      <c r="G39" s="7">
        <v>34134</v>
      </c>
      <c r="H39" s="7">
        <v>39833</v>
      </c>
      <c r="I39" s="7"/>
      <c r="J39" s="31" t="s">
        <v>1038</v>
      </c>
      <c r="K39" s="7">
        <v>25580</v>
      </c>
      <c r="L39" s="7">
        <v>6788</v>
      </c>
      <c r="M39" s="7">
        <v>79</v>
      </c>
      <c r="N39" s="7">
        <v>586</v>
      </c>
      <c r="O39" s="7">
        <v>1101</v>
      </c>
      <c r="P39" s="7">
        <v>34134</v>
      </c>
      <c r="Q39" s="82"/>
    </row>
    <row r="40" spans="2:17">
      <c r="B40" s="8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2"/>
    </row>
    <row r="41" spans="2:17" ht="15.75">
      <c r="B41" s="81"/>
      <c r="C41" s="152" t="s">
        <v>1242</v>
      </c>
      <c r="D41" s="4"/>
      <c r="E41" s="4"/>
      <c r="F41" s="4"/>
      <c r="G41" s="4"/>
      <c r="H41" s="4"/>
      <c r="I41" s="4"/>
      <c r="J41" s="152" t="s">
        <v>1248</v>
      </c>
      <c r="K41" s="152"/>
      <c r="L41" s="152"/>
      <c r="M41" s="152"/>
      <c r="N41" s="152"/>
      <c r="O41" s="152"/>
      <c r="P41" s="4"/>
      <c r="Q41" s="82"/>
    </row>
    <row r="42" spans="2:17">
      <c r="B42" s="8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2"/>
    </row>
    <row r="43" spans="2:17">
      <c r="B43" s="81"/>
      <c r="C43" s="153" t="s">
        <v>1244</v>
      </c>
      <c r="D43" s="153" t="s">
        <v>1245</v>
      </c>
      <c r="E43" s="153" t="s">
        <v>1246</v>
      </c>
      <c r="F43" s="4"/>
      <c r="G43" s="4"/>
      <c r="H43" s="4"/>
      <c r="I43" s="4"/>
      <c r="J43" s="162" t="s">
        <v>1155</v>
      </c>
      <c r="K43" s="85" t="s">
        <v>1066</v>
      </c>
      <c r="L43" s="4"/>
      <c r="M43" s="4"/>
      <c r="N43" s="4"/>
      <c r="O43" s="4"/>
      <c r="P43" s="4"/>
      <c r="Q43" s="82"/>
    </row>
    <row r="44" spans="2:17">
      <c r="B44" s="81"/>
      <c r="C44" s="153" t="s">
        <v>500</v>
      </c>
      <c r="D44" s="157">
        <f>GETPIVOTDATA("Ind",$C$31,"Provenance_adm0","NGA")</f>
        <v>3848</v>
      </c>
      <c r="E44" s="159">
        <f>D44/D48</f>
        <v>9.6603318856224737E-2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2"/>
    </row>
    <row r="45" spans="2:17">
      <c r="B45" s="81"/>
      <c r="C45" s="154" t="s">
        <v>502</v>
      </c>
      <c r="D45" s="155">
        <f>GETPIVOTDATA("Ind",$C$31,"Provenance_adm0","TCD")</f>
        <v>1814</v>
      </c>
      <c r="E45" s="160">
        <f>D45/D48</f>
        <v>4.5540130042929228E-2</v>
      </c>
      <c r="F45" s="4"/>
      <c r="G45" s="4"/>
      <c r="H45" s="4"/>
      <c r="I45" s="4"/>
      <c r="J45" s="139" t="s">
        <v>1207</v>
      </c>
      <c r="K45" s="104" t="s">
        <v>1036</v>
      </c>
      <c r="L45" s="4"/>
      <c r="M45" s="4"/>
      <c r="N45" s="4"/>
      <c r="O45" s="82"/>
      <c r="P45" s="4"/>
      <c r="Q45" s="82"/>
    </row>
    <row r="46" spans="2:17">
      <c r="B46" s="81"/>
      <c r="C46" s="154" t="s">
        <v>1243</v>
      </c>
      <c r="D46" s="155">
        <f>GETPIVOTDATA("Ind",$C$31,"Provenance_adm0","CAF")</f>
        <v>37</v>
      </c>
      <c r="E46" s="160">
        <f>D46/D48</f>
        <v>9.2887806592523788E-4</v>
      </c>
      <c r="F46" s="7"/>
      <c r="G46" s="7"/>
      <c r="H46" s="7"/>
      <c r="I46" s="7"/>
      <c r="J46" s="139" t="s">
        <v>1037</v>
      </c>
      <c r="K46" s="4" t="s">
        <v>402</v>
      </c>
      <c r="L46" s="4" t="s">
        <v>403</v>
      </c>
      <c r="M46" s="4" t="s">
        <v>13</v>
      </c>
      <c r="N46" s="4" t="s">
        <v>6</v>
      </c>
      <c r="O46" s="82" t="s">
        <v>1038</v>
      </c>
      <c r="P46" s="4"/>
      <c r="Q46" s="82"/>
    </row>
    <row r="47" spans="2:17">
      <c r="B47" s="81"/>
      <c r="C47" s="154" t="s">
        <v>420</v>
      </c>
      <c r="D47" s="155">
        <f>GETPIVOTDATA("Ind",$C$31,"Provenance_adm0","CMR")</f>
        <v>34134</v>
      </c>
      <c r="E47" s="160">
        <f>D47/D48</f>
        <v>0.85692767303492079</v>
      </c>
      <c r="F47" s="7"/>
      <c r="G47" s="7"/>
      <c r="H47" s="7"/>
      <c r="I47" s="7"/>
      <c r="J47" s="140" t="s">
        <v>11</v>
      </c>
      <c r="K47" s="7"/>
      <c r="L47" s="7">
        <v>144</v>
      </c>
      <c r="M47" s="7">
        <v>24</v>
      </c>
      <c r="N47" s="7"/>
      <c r="O47" s="107">
        <v>168</v>
      </c>
      <c r="P47" s="4"/>
      <c r="Q47" s="82"/>
    </row>
    <row r="48" spans="2:17">
      <c r="B48" s="81"/>
      <c r="C48" s="156" t="s">
        <v>1038</v>
      </c>
      <c r="D48" s="158">
        <f>SUM(D44:D47)</f>
        <v>39833</v>
      </c>
      <c r="E48" s="161">
        <f>SUM(E44:E47)</f>
        <v>1</v>
      </c>
      <c r="F48" s="7"/>
      <c r="G48" s="7"/>
      <c r="H48" s="7"/>
      <c r="I48" s="7"/>
      <c r="J48" s="140" t="s">
        <v>7</v>
      </c>
      <c r="K48" s="7">
        <v>406</v>
      </c>
      <c r="L48" s="7"/>
      <c r="M48" s="7"/>
      <c r="N48" s="7">
        <v>25580</v>
      </c>
      <c r="O48" s="107">
        <v>25986</v>
      </c>
      <c r="P48" s="4"/>
      <c r="Q48" s="82"/>
    </row>
    <row r="49" spans="2:17">
      <c r="B49" s="81"/>
      <c r="C49" s="31"/>
      <c r="D49" s="7"/>
      <c r="E49" s="7"/>
      <c r="F49" s="7"/>
      <c r="G49" s="7"/>
      <c r="H49" s="7"/>
      <c r="I49" s="7"/>
      <c r="J49" s="140" t="s">
        <v>10</v>
      </c>
      <c r="K49" s="7">
        <v>489</v>
      </c>
      <c r="L49" s="7">
        <v>1670</v>
      </c>
      <c r="M49" s="7"/>
      <c r="N49" s="7">
        <v>6788</v>
      </c>
      <c r="O49" s="107">
        <v>8947</v>
      </c>
      <c r="P49" s="4"/>
      <c r="Q49" s="82"/>
    </row>
    <row r="50" spans="2:17">
      <c r="B50" s="81"/>
      <c r="C50" s="31"/>
      <c r="D50" s="7"/>
      <c r="E50" s="7"/>
      <c r="F50" s="7"/>
      <c r="G50" s="7"/>
      <c r="H50" s="7"/>
      <c r="I50" s="7"/>
      <c r="J50" s="140" t="s">
        <v>4</v>
      </c>
      <c r="K50" s="7">
        <v>100</v>
      </c>
      <c r="L50" s="7"/>
      <c r="M50" s="7">
        <v>13</v>
      </c>
      <c r="N50" s="7">
        <v>79</v>
      </c>
      <c r="O50" s="107">
        <v>192</v>
      </c>
      <c r="P50" s="4"/>
      <c r="Q50" s="82"/>
    </row>
    <row r="51" spans="2:17">
      <c r="B51" s="81"/>
      <c r="C51" s="31"/>
      <c r="D51" s="7"/>
      <c r="E51" s="7"/>
      <c r="F51" s="7"/>
      <c r="G51" s="7"/>
      <c r="H51" s="7"/>
      <c r="I51" s="7"/>
      <c r="J51" s="140" t="s">
        <v>27</v>
      </c>
      <c r="K51" s="7"/>
      <c r="L51" s="7"/>
      <c r="M51" s="7"/>
      <c r="N51" s="7">
        <v>586</v>
      </c>
      <c r="O51" s="107">
        <v>586</v>
      </c>
      <c r="P51" s="4"/>
      <c r="Q51" s="82"/>
    </row>
    <row r="52" spans="2:17">
      <c r="B52" s="81"/>
      <c r="C52" s="31"/>
      <c r="D52" s="7"/>
      <c r="E52" s="7"/>
      <c r="F52" s="7"/>
      <c r="G52" s="7"/>
      <c r="H52" s="7"/>
      <c r="I52" s="7"/>
      <c r="J52" s="140" t="s">
        <v>2</v>
      </c>
      <c r="K52" s="7">
        <v>2853</v>
      </c>
      <c r="L52" s="7"/>
      <c r="M52" s="7"/>
      <c r="N52" s="7">
        <v>1101</v>
      </c>
      <c r="O52" s="107">
        <v>3954</v>
      </c>
      <c r="P52" s="4"/>
      <c r="Q52" s="82"/>
    </row>
    <row r="53" spans="2:17">
      <c r="B53" s="81"/>
      <c r="C53" s="4"/>
      <c r="D53" s="4"/>
      <c r="E53" s="4"/>
      <c r="F53" s="4"/>
      <c r="G53" s="4"/>
      <c r="H53" s="4"/>
      <c r="I53" s="4"/>
      <c r="J53" s="141" t="s">
        <v>1038</v>
      </c>
      <c r="K53" s="142">
        <v>3848</v>
      </c>
      <c r="L53" s="142">
        <v>1814</v>
      </c>
      <c r="M53" s="142">
        <v>37</v>
      </c>
      <c r="N53" s="142">
        <v>34134</v>
      </c>
      <c r="O53" s="143">
        <v>39833</v>
      </c>
      <c r="P53" s="4"/>
      <c r="Q53" s="82"/>
    </row>
    <row r="54" spans="2:17">
      <c r="B54" s="8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2"/>
    </row>
    <row r="55" spans="2:17">
      <c r="B55" s="8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2"/>
    </row>
    <row r="56" spans="2:17">
      <c r="B56" s="8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2"/>
    </row>
    <row r="57" spans="2:17">
      <c r="B57" s="8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2"/>
    </row>
    <row r="58" spans="2:17">
      <c r="B58" s="8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2"/>
    </row>
    <row r="59" spans="2:17">
      <c r="B59" s="8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2"/>
    </row>
    <row r="60" spans="2:17">
      <c r="B60" s="8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2"/>
    </row>
    <row r="61" spans="2:17">
      <c r="B61" s="8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2"/>
    </row>
    <row r="62" spans="2:17"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5"/>
    </row>
  </sheetData>
  <mergeCells count="3">
    <mergeCell ref="C16:G16"/>
    <mergeCell ref="B25:Q25"/>
    <mergeCell ref="B2:Q2"/>
  </mergeCell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Q11"/>
  <sheetViews>
    <sheetView zoomScale="70" zoomScaleNormal="70" workbookViewId="0">
      <selection activeCell="O32" sqref="O32"/>
    </sheetView>
  </sheetViews>
  <sheetFormatPr defaultColWidth="11.42578125" defaultRowHeight="15"/>
  <cols>
    <col min="1" max="1" width="20.5703125" customWidth="1"/>
    <col min="2" max="2" width="17.140625" customWidth="1"/>
    <col min="3" max="3" width="9.140625" customWidth="1"/>
    <col min="4" max="4" width="22.140625" customWidth="1"/>
    <col min="5" max="5" width="12.42578125" customWidth="1"/>
    <col min="6" max="6" width="14.5703125" customWidth="1"/>
    <col min="7" max="7" width="5.85546875" customWidth="1"/>
    <col min="8" max="8" width="17.7109375" bestFit="1" customWidth="1"/>
    <col min="9" max="9" width="20" bestFit="1" customWidth="1"/>
    <col min="10" max="10" width="18.85546875" bestFit="1" customWidth="1"/>
    <col min="11" max="11" width="22.42578125" bestFit="1" customWidth="1"/>
    <col min="12" max="12" width="10.28515625" bestFit="1" customWidth="1"/>
    <col min="13" max="13" width="11.7109375" bestFit="1" customWidth="1"/>
    <col min="14" max="14" width="5.85546875" customWidth="1"/>
    <col min="15" max="15" width="18.85546875" customWidth="1"/>
    <col min="16" max="16" width="11.7109375" bestFit="1" customWidth="1"/>
    <col min="17" max="17" width="7.7109375" bestFit="1" customWidth="1"/>
    <col min="18" max="22" width="4" customWidth="1"/>
    <col min="23" max="23" width="6" bestFit="1" customWidth="1"/>
    <col min="24" max="29" width="5" customWidth="1"/>
    <col min="30" max="30" width="6" customWidth="1"/>
    <col min="31" max="31" width="5.5703125" customWidth="1"/>
    <col min="32" max="32" width="12.5703125" bestFit="1" customWidth="1"/>
  </cols>
  <sheetData>
    <row r="2" spans="1:17">
      <c r="A2" s="193" t="s">
        <v>1090</v>
      </c>
      <c r="B2" s="193"/>
      <c r="C2" s="193"/>
      <c r="D2" s="193"/>
      <c r="E2" s="193"/>
      <c r="F2" s="193"/>
      <c r="H2" s="72" t="s">
        <v>1091</v>
      </c>
      <c r="O2" s="72" t="s">
        <v>1092</v>
      </c>
    </row>
    <row r="4" spans="1:17" ht="30">
      <c r="A4" s="1" t="s">
        <v>1192</v>
      </c>
      <c r="B4" s="79" t="s">
        <v>1191</v>
      </c>
      <c r="C4" s="79" t="s">
        <v>1187</v>
      </c>
      <c r="D4" s="79" t="s">
        <v>1188</v>
      </c>
      <c r="E4" s="79" t="s">
        <v>1189</v>
      </c>
      <c r="F4" s="79" t="s">
        <v>1190</v>
      </c>
      <c r="H4" s="3" t="s">
        <v>1192</v>
      </c>
      <c r="I4" s="80" t="s">
        <v>1253</v>
      </c>
      <c r="J4" s="80" t="s">
        <v>1256</v>
      </c>
      <c r="K4" s="80" t="s">
        <v>1222</v>
      </c>
      <c r="L4" s="80" t="s">
        <v>1193</v>
      </c>
      <c r="M4" s="80" t="s">
        <v>1223</v>
      </c>
      <c r="O4" t="s">
        <v>1035</v>
      </c>
      <c r="P4" s="69" t="s">
        <v>945</v>
      </c>
      <c r="Q4" s="69" t="s">
        <v>407</v>
      </c>
    </row>
    <row r="5" spans="1:17">
      <c r="A5" s="2" t="s">
        <v>11</v>
      </c>
      <c r="B5" s="6"/>
      <c r="C5" s="6">
        <v>363</v>
      </c>
      <c r="D5" s="6"/>
      <c r="E5" s="6">
        <v>20</v>
      </c>
      <c r="F5" s="6">
        <v>96</v>
      </c>
      <c r="H5" s="2" t="s">
        <v>11</v>
      </c>
      <c r="I5" s="39">
        <f>GETPIVOTDATA("Spontaneous",$A$4,"Department","Diamare")/SUM(B5:F5)</f>
        <v>0</v>
      </c>
      <c r="J5" s="39">
        <f>GETPIVOTDATA("Rental",$A$4,"Department","Diamare")/SUM(B5:F5)</f>
        <v>0.75782881002087688</v>
      </c>
      <c r="K5" s="39">
        <f>GETPIVOTDATA("Collective Shelter",$A$4,"Department","Diamare")/SUM(B5:F5)</f>
        <v>0</v>
      </c>
      <c r="L5" s="39">
        <f>GETPIVOTDATA("Open_Air",$A$4,"Department","Diamare")/SUM(B5:F5)</f>
        <v>4.1753653444676408E-2</v>
      </c>
      <c r="M5" s="39">
        <f>GETPIVOTDATA("Host Family",$A$4,"Department","Diamare")/SUM(B5:F5)</f>
        <v>0.20041753653444677</v>
      </c>
      <c r="N5" s="39"/>
      <c r="O5" s="3" t="s">
        <v>1253</v>
      </c>
      <c r="P5" s="73">
        <v>6297</v>
      </c>
      <c r="Q5" s="38">
        <f>P5/$P$10</f>
        <v>0.1640185455303188</v>
      </c>
    </row>
    <row r="6" spans="1:17">
      <c r="A6" s="2" t="s">
        <v>7</v>
      </c>
      <c r="B6" s="6">
        <v>3548</v>
      </c>
      <c r="C6" s="6">
        <v>1902</v>
      </c>
      <c r="D6" s="6"/>
      <c r="E6" s="6">
        <v>224</v>
      </c>
      <c r="F6" s="6">
        <v>16761</v>
      </c>
      <c r="H6" s="2" t="s">
        <v>7</v>
      </c>
      <c r="I6" s="39">
        <f>GETPIVOTDATA("Spontaneous",$A$4,"Department","Logone-Et-Chari")/SUM(B6:F6)</f>
        <v>0.15814575440160464</v>
      </c>
      <c r="J6" s="39">
        <f>GETPIVOTDATA("Rental",$A$4,"Department","Logone-Et-Chari")/SUM(B6:F6)</f>
        <v>8.4778248272788057E-2</v>
      </c>
      <c r="K6" s="39">
        <f>GETPIVOTDATA("Collective Shelter",$A$4,"Department","Logone-Et-Chari")/SUM(B6:F6)</f>
        <v>0</v>
      </c>
      <c r="L6" s="39">
        <f>GETPIVOTDATA("Open_Air",$A$4,"Department","Logone-Et-Chari")/SUM(B6:F6)</f>
        <v>9.984399375975039E-3</v>
      </c>
      <c r="M6" s="39">
        <f>GETPIVOTDATA("Host Family",$A$4,"Department","Logone-Et-Chari")/SUM(B6:F6)</f>
        <v>0.74709159794963231</v>
      </c>
      <c r="N6" s="39"/>
      <c r="O6" s="3" t="s">
        <v>1254</v>
      </c>
      <c r="P6" s="73">
        <v>1093</v>
      </c>
      <c r="Q6" s="38">
        <f>P6/$P$10</f>
        <v>2.8469472806834758E-2</v>
      </c>
    </row>
    <row r="7" spans="1:17">
      <c r="A7" s="2" t="s">
        <v>10</v>
      </c>
      <c r="B7" s="6">
        <v>1072</v>
      </c>
      <c r="C7" s="6">
        <v>288</v>
      </c>
      <c r="D7" s="6">
        <v>138</v>
      </c>
      <c r="E7" s="6"/>
      <c r="F7" s="6">
        <v>3324</v>
      </c>
      <c r="H7" s="2" t="s">
        <v>10</v>
      </c>
      <c r="I7" s="39">
        <f>GETPIVOTDATA("Spontaneous",$A$4,"Department","Mayo-Danay")/SUM(B7:F7)</f>
        <v>0.22231439236831191</v>
      </c>
      <c r="J7" s="39">
        <f>GETPIVOTDATA("Rental",$A$4,"Department","Mayo-Danay")/SUM(B7:F7)</f>
        <v>5.9726254666113643E-2</v>
      </c>
      <c r="K7" s="39">
        <f>GETPIVOTDATA("Collective Shelter",$A$4,"Department","Mayo-Danay")/SUM(B7:F7)</f>
        <v>2.8618830360846122E-2</v>
      </c>
      <c r="L7" s="39">
        <f>GETPIVOTDATA("Open_Air",$A$4,"Department","Mayo-Danay")/SUM(B7:F7)</f>
        <v>0</v>
      </c>
      <c r="M7" s="39">
        <f>GETPIVOTDATA("Host Family",$A$4,"Department","Mayo-Danay")/SUM(B7:F7)</f>
        <v>0.68934052260472833</v>
      </c>
      <c r="N7" s="39"/>
      <c r="O7" s="3" t="s">
        <v>1223</v>
      </c>
      <c r="P7" s="73">
        <v>26696</v>
      </c>
      <c r="Q7" s="38">
        <f>P7/$P$10</f>
        <v>0.69535319858303812</v>
      </c>
    </row>
    <row r="8" spans="1:17">
      <c r="A8" s="2" t="s">
        <v>4</v>
      </c>
      <c r="B8" s="6"/>
      <c r="C8" s="6">
        <v>18</v>
      </c>
      <c r="D8" s="6"/>
      <c r="E8" s="6"/>
      <c r="F8" s="6">
        <v>64</v>
      </c>
      <c r="H8" s="2" t="s">
        <v>4</v>
      </c>
      <c r="I8" s="39">
        <f>GETPIVOTDATA("Spontaneous",$A$4,"Department","Mayo-Kani")/SUM(B8:F8)</f>
        <v>0</v>
      </c>
      <c r="J8" s="39">
        <f>GETPIVOTDATA("Rental",$A$4,"Department","Mayo-Kani")/SUM(B8:F8)</f>
        <v>0.21951219512195122</v>
      </c>
      <c r="K8" s="39">
        <f>GETPIVOTDATA("Collective Shelter",$A$4,"Department","Mayo-Kani")/SUM(B8:F8)</f>
        <v>0</v>
      </c>
      <c r="L8" s="39">
        <f>GETPIVOTDATA("Open_Air",$A$4,"Department","Mayo-Kani")/SUM(B8:F8)</f>
        <v>0</v>
      </c>
      <c r="M8" s="39">
        <f>GETPIVOTDATA("Host Family",$A$4,"Department","Mayo-Kani")/SUM(B8:F8)</f>
        <v>0.78048780487804881</v>
      </c>
      <c r="N8" s="39"/>
      <c r="O8" s="3" t="s">
        <v>1255</v>
      </c>
      <c r="P8" s="73">
        <v>617</v>
      </c>
      <c r="Q8" s="38">
        <f>P8/$P$10</f>
        <v>1.6071056470097937E-2</v>
      </c>
    </row>
    <row r="9" spans="1:17">
      <c r="A9" s="2" t="s">
        <v>27</v>
      </c>
      <c r="B9" s="6">
        <v>1350</v>
      </c>
      <c r="C9" s="6">
        <v>841</v>
      </c>
      <c r="D9" s="6">
        <v>850</v>
      </c>
      <c r="E9" s="6">
        <v>373</v>
      </c>
      <c r="F9" s="6">
        <v>3394</v>
      </c>
      <c r="H9" s="2" t="s">
        <v>27</v>
      </c>
      <c r="I9" s="39">
        <f>GETPIVOTDATA("Spontaneous",$A$4,"Department","Mayo-Sava")/SUM(B9:F9)</f>
        <v>0.19829612220916568</v>
      </c>
      <c r="J9" s="39">
        <f>GETPIVOTDATA("Rental",$A$4,"Department","Mayo-Sava")/SUM(B9:F9)</f>
        <v>0.12353113983548766</v>
      </c>
      <c r="K9" s="39">
        <f>GETPIVOTDATA("Collective Shelter",$A$4,"Department","Mayo-Sava")/SUM(B9:F9)</f>
        <v>0.12485311398354877</v>
      </c>
      <c r="L9" s="39">
        <f>GETPIVOTDATA("Open_Air",$A$4,"Department","Mayo-Sava")/SUM(B9:F9)</f>
        <v>5.4788484136310225E-2</v>
      </c>
      <c r="M9" s="39">
        <f>GETPIVOTDATA("Host Family",$A$4,"Department","Mayo-Sava")/SUM(B9:F9)</f>
        <v>0.49853113983548764</v>
      </c>
      <c r="N9" s="39"/>
      <c r="O9" s="3" t="s">
        <v>1256</v>
      </c>
      <c r="P9" s="73">
        <v>3689</v>
      </c>
      <c r="Q9" s="38">
        <f>P9/$P$10</f>
        <v>9.608772660971035E-2</v>
      </c>
    </row>
    <row r="10" spans="1:17">
      <c r="A10" s="2" t="s">
        <v>2</v>
      </c>
      <c r="B10" s="6">
        <v>327</v>
      </c>
      <c r="C10" s="6">
        <v>277</v>
      </c>
      <c r="D10" s="6">
        <v>105</v>
      </c>
      <c r="E10" s="6"/>
      <c r="F10" s="6">
        <v>3057</v>
      </c>
      <c r="H10" s="2" t="s">
        <v>2</v>
      </c>
      <c r="I10" s="39">
        <f>GETPIVOTDATA("Spontaneous",$A$4,"Department","Mayo-Tsanaga")/SUM(B10:F10)</f>
        <v>8.6829527349973443E-2</v>
      </c>
      <c r="J10" s="39">
        <f>GETPIVOTDATA("Rental",$A$4,"Department","Mayo-Tsanaga")/SUM(B10:F10)</f>
        <v>7.3552841210833775E-2</v>
      </c>
      <c r="K10" s="39">
        <f>GETPIVOTDATA("Collective Shelter",$A$4,"Department","Mayo-Tsanaga")/SUM(B10:F10)</f>
        <v>2.7881040892193308E-2</v>
      </c>
      <c r="L10" s="39">
        <f>GETPIVOTDATA("Open_Air",$A$4,"Department","Mayo-Tsanaga")/SUM(B10:F10)</f>
        <v>0</v>
      </c>
      <c r="M10" s="39">
        <f>GETPIVOTDATA("Host Family",$A$4,"Department","Mayo-Tsanaga")/SUM(B10:F10)</f>
        <v>0.81173659054699943</v>
      </c>
      <c r="N10" s="39"/>
      <c r="O10" s="5" t="s">
        <v>1053</v>
      </c>
      <c r="P10" s="68">
        <f>SUM(P5:P9)</f>
        <v>38392</v>
      </c>
      <c r="Q10" s="37">
        <f>SUM(Q5:Q9)</f>
        <v>1</v>
      </c>
    </row>
    <row r="11" spans="1:17">
      <c r="A11" s="2" t="s">
        <v>1038</v>
      </c>
      <c r="B11" s="6">
        <v>6297</v>
      </c>
      <c r="C11" s="6">
        <v>3689</v>
      </c>
      <c r="D11" s="6">
        <v>1093</v>
      </c>
      <c r="E11" s="6">
        <v>617</v>
      </c>
      <c r="F11" s="6">
        <v>26696</v>
      </c>
      <c r="H11" s="70"/>
      <c r="I11" s="71"/>
      <c r="J11" s="71"/>
      <c r="K11" s="71"/>
      <c r="L11" s="71"/>
      <c r="M11" s="7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487"/>
  <sheetViews>
    <sheetView zoomScale="85" zoomScaleNormal="85" workbookViewId="0">
      <pane ySplit="1" topLeftCell="A2" activePane="bottomLeft" state="frozen"/>
      <selection pane="bottomLeft" activeCell="G479" sqref="G479"/>
    </sheetView>
  </sheetViews>
  <sheetFormatPr defaultColWidth="42.28515625" defaultRowHeight="15"/>
  <cols>
    <col min="1" max="1" width="18.85546875" bestFit="1" customWidth="1"/>
    <col min="2" max="2" width="18.5703125" customWidth="1"/>
    <col min="3" max="3" width="21" customWidth="1"/>
    <col min="4" max="4" width="16.7109375" customWidth="1"/>
    <col min="5" max="5" width="23" customWidth="1"/>
    <col min="6" max="6" width="17.140625" customWidth="1"/>
    <col min="7" max="7" width="32.7109375" bestFit="1" customWidth="1"/>
    <col min="8" max="8" width="17" bestFit="1" customWidth="1"/>
    <col min="9" max="9" width="27.28515625" customWidth="1"/>
    <col min="10" max="10" width="19.5703125" bestFit="1" customWidth="1"/>
    <col min="11" max="11" width="42.28515625" customWidth="1"/>
    <col min="12" max="12" width="22.140625" bestFit="1" customWidth="1"/>
    <col min="13" max="13" width="42.28515625" customWidth="1"/>
    <col min="14" max="14" width="28.7109375" bestFit="1" customWidth="1"/>
    <col min="15" max="15" width="42.28515625" customWidth="1"/>
    <col min="16" max="16" width="32.140625" bestFit="1" customWidth="1"/>
    <col min="17" max="17" width="31.42578125" customWidth="1"/>
    <col min="18" max="18" width="22.85546875" bestFit="1" customWidth="1"/>
    <col min="19" max="19" width="20.28515625" bestFit="1" customWidth="1"/>
  </cols>
  <sheetData>
    <row r="1" spans="1:19" s="111" customFormat="1">
      <c r="A1" s="110" t="s">
        <v>1056</v>
      </c>
      <c r="B1" s="110" t="s">
        <v>1101</v>
      </c>
      <c r="C1" s="110" t="s">
        <v>0</v>
      </c>
      <c r="D1" s="110" t="s">
        <v>1102</v>
      </c>
      <c r="E1" s="110" t="s">
        <v>1080</v>
      </c>
      <c r="F1" s="110" t="s">
        <v>520</v>
      </c>
      <c r="G1" s="110" t="s">
        <v>1081</v>
      </c>
      <c r="H1" s="110" t="s">
        <v>1082</v>
      </c>
      <c r="I1" s="110" t="s">
        <v>1083</v>
      </c>
      <c r="J1" s="110" t="s">
        <v>1084</v>
      </c>
      <c r="K1" s="110" t="s">
        <v>1103</v>
      </c>
      <c r="L1" s="110" t="s">
        <v>1085</v>
      </c>
      <c r="M1" s="110" t="s">
        <v>1104</v>
      </c>
      <c r="N1" s="110" t="s">
        <v>1086</v>
      </c>
      <c r="O1" s="110" t="s">
        <v>1105</v>
      </c>
      <c r="P1" s="110" t="s">
        <v>1100</v>
      </c>
      <c r="Q1" s="110" t="s">
        <v>1106</v>
      </c>
      <c r="R1" s="110" t="s">
        <v>1087</v>
      </c>
      <c r="S1" s="110" t="s">
        <v>1088</v>
      </c>
    </row>
    <row r="2" spans="1:19">
      <c r="A2" s="61" t="s">
        <v>11</v>
      </c>
      <c r="B2" s="61" t="s">
        <v>144</v>
      </c>
      <c r="C2" s="61" t="s">
        <v>26</v>
      </c>
      <c r="D2" s="61" t="s">
        <v>153</v>
      </c>
      <c r="E2" s="61" t="s">
        <v>521</v>
      </c>
      <c r="F2" s="61"/>
      <c r="G2" s="61" t="s">
        <v>1107</v>
      </c>
      <c r="H2" s="61"/>
      <c r="I2" t="s">
        <v>1099</v>
      </c>
      <c r="J2" t="s">
        <v>420</v>
      </c>
      <c r="K2" t="s">
        <v>6</v>
      </c>
      <c r="L2" t="s">
        <v>409</v>
      </c>
      <c r="M2" t="s">
        <v>141</v>
      </c>
      <c r="N2" t="s">
        <v>27</v>
      </c>
      <c r="O2" t="s">
        <v>148</v>
      </c>
      <c r="P2" t="s">
        <v>28</v>
      </c>
      <c r="Q2" t="s">
        <v>179</v>
      </c>
    </row>
    <row r="3" spans="1:19">
      <c r="A3" s="61" t="s">
        <v>11</v>
      </c>
      <c r="B3" s="61" t="s">
        <v>144</v>
      </c>
      <c r="C3" s="61" t="s">
        <v>26</v>
      </c>
      <c r="D3" s="61" t="s">
        <v>153</v>
      </c>
      <c r="E3" s="61" t="s">
        <v>539</v>
      </c>
      <c r="F3" s="61" t="s">
        <v>540</v>
      </c>
      <c r="G3" s="61" t="s">
        <v>1107</v>
      </c>
      <c r="H3" s="61"/>
      <c r="I3" t="s">
        <v>1099</v>
      </c>
      <c r="J3" t="s">
        <v>420</v>
      </c>
      <c r="K3" t="s">
        <v>6</v>
      </c>
      <c r="L3" t="s">
        <v>409</v>
      </c>
      <c r="M3" t="s">
        <v>141</v>
      </c>
      <c r="N3" t="s">
        <v>27</v>
      </c>
      <c r="O3" t="s">
        <v>148</v>
      </c>
      <c r="P3" t="s">
        <v>28</v>
      </c>
      <c r="Q3" t="s">
        <v>179</v>
      </c>
      <c r="R3">
        <v>14.533142</v>
      </c>
      <c r="S3">
        <v>10.696113</v>
      </c>
    </row>
    <row r="4" spans="1:19">
      <c r="A4" s="61" t="s">
        <v>11</v>
      </c>
      <c r="B4" s="61" t="s">
        <v>144</v>
      </c>
      <c r="C4" s="61" t="s">
        <v>26</v>
      </c>
      <c r="D4" s="61" t="s">
        <v>153</v>
      </c>
      <c r="E4" s="61" t="s">
        <v>545</v>
      </c>
      <c r="F4" s="61" t="s">
        <v>546</v>
      </c>
      <c r="G4" s="61" t="s">
        <v>1107</v>
      </c>
      <c r="H4" s="61"/>
      <c r="I4" t="s">
        <v>1099</v>
      </c>
      <c r="J4" t="s">
        <v>420</v>
      </c>
      <c r="K4" t="s">
        <v>6</v>
      </c>
      <c r="L4" t="s">
        <v>409</v>
      </c>
      <c r="M4" t="s">
        <v>141</v>
      </c>
      <c r="N4" t="s">
        <v>7</v>
      </c>
      <c r="O4" t="s">
        <v>145</v>
      </c>
      <c r="P4" t="s">
        <v>25</v>
      </c>
      <c r="Q4" t="s">
        <v>159</v>
      </c>
      <c r="R4">
        <v>14.657781</v>
      </c>
      <c r="S4">
        <v>10.846223999999999</v>
      </c>
    </row>
    <row r="5" spans="1:19">
      <c r="A5" s="61" t="s">
        <v>11</v>
      </c>
      <c r="B5" s="61" t="s">
        <v>144</v>
      </c>
      <c r="C5" s="61" t="s">
        <v>26</v>
      </c>
      <c r="D5" s="61" t="s">
        <v>153</v>
      </c>
      <c r="E5" s="61" t="s">
        <v>541</v>
      </c>
      <c r="F5" s="61" t="s">
        <v>542</v>
      </c>
      <c r="G5" s="61" t="s">
        <v>1107</v>
      </c>
      <c r="H5" s="61"/>
      <c r="I5" t="s">
        <v>1099</v>
      </c>
      <c r="J5" t="s">
        <v>420</v>
      </c>
      <c r="K5" t="s">
        <v>6</v>
      </c>
      <c r="L5" t="s">
        <v>409</v>
      </c>
      <c r="M5" t="s">
        <v>141</v>
      </c>
      <c r="N5" t="s">
        <v>27</v>
      </c>
      <c r="O5" t="s">
        <v>148</v>
      </c>
      <c r="P5" t="s">
        <v>33</v>
      </c>
      <c r="Q5" t="s">
        <v>178</v>
      </c>
      <c r="R5">
        <v>14.609275999999999</v>
      </c>
      <c r="S5">
        <v>10.733603</v>
      </c>
    </row>
    <row r="6" spans="1:19">
      <c r="A6" s="61" t="s">
        <v>11</v>
      </c>
      <c r="B6" s="61" t="s">
        <v>144</v>
      </c>
      <c r="C6" s="61" t="s">
        <v>26</v>
      </c>
      <c r="D6" s="61" t="s">
        <v>153</v>
      </c>
      <c r="E6" s="61" t="s">
        <v>543</v>
      </c>
      <c r="F6" s="61" t="s">
        <v>544</v>
      </c>
      <c r="G6" s="61" t="s">
        <v>1107</v>
      </c>
      <c r="H6" s="61"/>
      <c r="I6" t="s">
        <v>1099</v>
      </c>
      <c r="J6" t="s">
        <v>420</v>
      </c>
      <c r="K6" t="s">
        <v>6</v>
      </c>
      <c r="L6" t="s">
        <v>409</v>
      </c>
      <c r="M6" t="s">
        <v>141</v>
      </c>
      <c r="N6" t="s">
        <v>27</v>
      </c>
      <c r="O6" t="s">
        <v>148</v>
      </c>
      <c r="P6" t="s">
        <v>33</v>
      </c>
      <c r="Q6" t="s">
        <v>178</v>
      </c>
      <c r="R6">
        <v>14.63869</v>
      </c>
      <c r="S6">
        <v>10.661258999999999</v>
      </c>
    </row>
    <row r="7" spans="1:19">
      <c r="A7" s="61" t="s">
        <v>11</v>
      </c>
      <c r="B7" s="61" t="s">
        <v>144</v>
      </c>
      <c r="C7" s="61" t="s">
        <v>26</v>
      </c>
      <c r="D7" s="61" t="s">
        <v>153</v>
      </c>
      <c r="E7" s="61" t="s">
        <v>547</v>
      </c>
      <c r="F7" s="61" t="s">
        <v>548</v>
      </c>
      <c r="G7" s="61" t="s">
        <v>1107</v>
      </c>
      <c r="H7" s="61"/>
      <c r="I7" t="s">
        <v>1099</v>
      </c>
      <c r="J7" t="s">
        <v>420</v>
      </c>
      <c r="K7" t="s">
        <v>6</v>
      </c>
      <c r="L7" t="s">
        <v>409</v>
      </c>
      <c r="M7" t="s">
        <v>141</v>
      </c>
      <c r="N7" t="s">
        <v>27</v>
      </c>
      <c r="O7" t="s">
        <v>148</v>
      </c>
      <c r="P7" t="s">
        <v>28</v>
      </c>
      <c r="Q7" t="s">
        <v>179</v>
      </c>
      <c r="R7">
        <v>14.55</v>
      </c>
      <c r="S7">
        <v>10.75</v>
      </c>
    </row>
    <row r="8" spans="1:19">
      <c r="A8" s="61" t="s">
        <v>11</v>
      </c>
      <c r="B8" s="61" t="s">
        <v>144</v>
      </c>
      <c r="C8" s="61" t="s">
        <v>26</v>
      </c>
      <c r="D8" s="61" t="s">
        <v>153</v>
      </c>
      <c r="E8" s="61" t="s">
        <v>214</v>
      </c>
      <c r="F8" s="61" t="s">
        <v>213</v>
      </c>
      <c r="G8" s="61" t="s">
        <v>1107</v>
      </c>
      <c r="H8" s="61"/>
      <c r="I8" t="s">
        <v>1099</v>
      </c>
      <c r="J8" t="s">
        <v>420</v>
      </c>
      <c r="K8" t="s">
        <v>6</v>
      </c>
      <c r="L8" t="s">
        <v>409</v>
      </c>
      <c r="M8" t="s">
        <v>141</v>
      </c>
      <c r="N8" t="s">
        <v>7</v>
      </c>
      <c r="O8" t="s">
        <v>145</v>
      </c>
      <c r="P8" t="s">
        <v>25</v>
      </c>
      <c r="Q8" t="s">
        <v>159</v>
      </c>
      <c r="R8">
        <v>14.745808</v>
      </c>
      <c r="S8">
        <v>10.925478</v>
      </c>
    </row>
    <row r="9" spans="1:19">
      <c r="A9" s="61" t="s">
        <v>11</v>
      </c>
      <c r="B9" s="61" t="s">
        <v>144</v>
      </c>
      <c r="C9" s="61" t="s">
        <v>12</v>
      </c>
      <c r="D9" s="61" t="s">
        <v>154</v>
      </c>
      <c r="E9" s="61" t="s">
        <v>912</v>
      </c>
      <c r="F9" s="61"/>
      <c r="G9" s="61" t="s">
        <v>1107</v>
      </c>
      <c r="H9" s="61"/>
      <c r="I9" t="s">
        <v>1099</v>
      </c>
      <c r="J9" t="s">
        <v>420</v>
      </c>
      <c r="K9" t="s">
        <v>6</v>
      </c>
      <c r="L9" t="s">
        <v>409</v>
      </c>
      <c r="M9" t="s">
        <v>141</v>
      </c>
      <c r="N9" t="s">
        <v>11</v>
      </c>
      <c r="O9" t="s">
        <v>144</v>
      </c>
      <c r="P9" t="s">
        <v>12</v>
      </c>
      <c r="Q9" t="s">
        <v>154</v>
      </c>
    </row>
    <row r="10" spans="1:19">
      <c r="A10" s="61" t="s">
        <v>11</v>
      </c>
      <c r="B10" s="61" t="s">
        <v>144</v>
      </c>
      <c r="C10" s="61" t="s">
        <v>12</v>
      </c>
      <c r="D10" s="61" t="s">
        <v>154</v>
      </c>
      <c r="E10" s="61" t="s">
        <v>911</v>
      </c>
      <c r="F10" s="61"/>
      <c r="G10" s="61" t="s">
        <v>1107</v>
      </c>
      <c r="H10" s="61"/>
      <c r="I10" t="s">
        <v>1099</v>
      </c>
      <c r="J10" t="s">
        <v>420</v>
      </c>
      <c r="K10" t="s">
        <v>6</v>
      </c>
      <c r="L10" t="s">
        <v>409</v>
      </c>
      <c r="M10" t="s">
        <v>141</v>
      </c>
      <c r="N10" t="s">
        <v>11</v>
      </c>
      <c r="O10" t="s">
        <v>144</v>
      </c>
      <c r="P10" t="s">
        <v>12</v>
      </c>
      <c r="Q10" t="s">
        <v>154</v>
      </c>
    </row>
    <row r="11" spans="1:19">
      <c r="A11" s="61" t="s">
        <v>11</v>
      </c>
      <c r="B11" s="61" t="s">
        <v>144</v>
      </c>
      <c r="C11" s="61" t="s">
        <v>12</v>
      </c>
      <c r="D11" s="61" t="s">
        <v>154</v>
      </c>
      <c r="E11" s="61" t="s">
        <v>910</v>
      </c>
      <c r="F11" s="61"/>
      <c r="G11" s="61" t="s">
        <v>1107</v>
      </c>
      <c r="H11" s="61"/>
      <c r="I11" t="s">
        <v>1099</v>
      </c>
      <c r="J11" t="s">
        <v>420</v>
      </c>
      <c r="K11" t="s">
        <v>6</v>
      </c>
      <c r="L11" t="s">
        <v>409</v>
      </c>
      <c r="M11" t="s">
        <v>141</v>
      </c>
      <c r="N11" t="s">
        <v>11</v>
      </c>
      <c r="O11" t="s">
        <v>144</v>
      </c>
      <c r="P11" t="s">
        <v>12</v>
      </c>
      <c r="Q11" t="s">
        <v>154</v>
      </c>
    </row>
    <row r="12" spans="1:19">
      <c r="A12" s="61" t="s">
        <v>11</v>
      </c>
      <c r="B12" s="61" t="s">
        <v>144</v>
      </c>
      <c r="C12" s="61" t="s">
        <v>12</v>
      </c>
      <c r="D12" s="61" t="s">
        <v>154</v>
      </c>
      <c r="E12" s="61" t="s">
        <v>913</v>
      </c>
      <c r="F12" s="61"/>
      <c r="G12" s="61" t="s">
        <v>1107</v>
      </c>
      <c r="H12" s="61"/>
      <c r="I12" t="s">
        <v>1099</v>
      </c>
      <c r="J12" t="s">
        <v>420</v>
      </c>
      <c r="K12" t="s">
        <v>6</v>
      </c>
      <c r="L12" t="s">
        <v>409</v>
      </c>
      <c r="M12" t="s">
        <v>141</v>
      </c>
      <c r="N12" t="s">
        <v>11</v>
      </c>
      <c r="O12" t="s">
        <v>144</v>
      </c>
      <c r="P12" t="s">
        <v>12</v>
      </c>
      <c r="Q12" t="s">
        <v>154</v>
      </c>
    </row>
    <row r="13" spans="1:19">
      <c r="A13" s="61" t="s">
        <v>11</v>
      </c>
      <c r="B13" s="61" t="s">
        <v>144</v>
      </c>
      <c r="C13" s="61" t="s">
        <v>12</v>
      </c>
      <c r="D13" s="61" t="s">
        <v>154</v>
      </c>
      <c r="E13" s="61" t="s">
        <v>908</v>
      </c>
      <c r="F13" s="61" t="s">
        <v>909</v>
      </c>
      <c r="G13" s="61" t="s">
        <v>1107</v>
      </c>
      <c r="H13" s="61"/>
      <c r="I13" t="s">
        <v>1099</v>
      </c>
      <c r="J13" t="s">
        <v>420</v>
      </c>
      <c r="K13" t="s">
        <v>6</v>
      </c>
      <c r="L13" t="s">
        <v>409</v>
      </c>
      <c r="M13" t="s">
        <v>141</v>
      </c>
      <c r="N13" t="s">
        <v>11</v>
      </c>
      <c r="O13" t="s">
        <v>144</v>
      </c>
      <c r="P13" t="s">
        <v>12</v>
      </c>
      <c r="Q13" t="s">
        <v>154</v>
      </c>
      <c r="R13">
        <v>14.604594000000001</v>
      </c>
      <c r="S13">
        <v>10.526233</v>
      </c>
    </row>
    <row r="14" spans="1:19">
      <c r="A14" s="61" t="s">
        <v>11</v>
      </c>
      <c r="B14" s="61" t="s">
        <v>144</v>
      </c>
      <c r="C14" s="61" t="s">
        <v>30</v>
      </c>
      <c r="D14" s="61" t="s">
        <v>156</v>
      </c>
      <c r="E14" s="61" t="s">
        <v>916</v>
      </c>
      <c r="F14" s="61"/>
      <c r="G14" s="61" t="s">
        <v>1107</v>
      </c>
      <c r="H14" s="61"/>
      <c r="I14" t="s">
        <v>1099</v>
      </c>
      <c r="J14" t="s">
        <v>420</v>
      </c>
      <c r="K14" t="s">
        <v>6</v>
      </c>
      <c r="L14" t="s">
        <v>409</v>
      </c>
      <c r="M14" t="s">
        <v>141</v>
      </c>
      <c r="N14" t="s">
        <v>2</v>
      </c>
      <c r="O14" t="s">
        <v>149</v>
      </c>
      <c r="P14" t="s">
        <v>16</v>
      </c>
      <c r="Q14" t="s">
        <v>185</v>
      </c>
    </row>
    <row r="15" spans="1:19">
      <c r="A15" s="61" t="s">
        <v>11</v>
      </c>
      <c r="B15" s="61" t="s">
        <v>144</v>
      </c>
      <c r="C15" s="61" t="s">
        <v>30</v>
      </c>
      <c r="D15" s="61" t="s">
        <v>156</v>
      </c>
      <c r="E15" s="61" t="s">
        <v>915</v>
      </c>
      <c r="F15" s="61"/>
      <c r="G15" s="61" t="s">
        <v>1107</v>
      </c>
      <c r="H15" s="61"/>
      <c r="I15" t="s">
        <v>1099</v>
      </c>
      <c r="J15" t="s">
        <v>420</v>
      </c>
      <c r="K15" t="s">
        <v>6</v>
      </c>
      <c r="L15" t="s">
        <v>409</v>
      </c>
      <c r="M15" t="s">
        <v>141</v>
      </c>
      <c r="N15" t="s">
        <v>2</v>
      </c>
      <c r="O15" t="s">
        <v>149</v>
      </c>
      <c r="P15" t="s">
        <v>16</v>
      </c>
      <c r="Q15" t="s">
        <v>185</v>
      </c>
    </row>
    <row r="16" spans="1:19">
      <c r="A16" s="61" t="s">
        <v>11</v>
      </c>
      <c r="B16" s="61" t="s">
        <v>144</v>
      </c>
      <c r="C16" s="61" t="s">
        <v>30</v>
      </c>
      <c r="D16" s="61" t="s">
        <v>156</v>
      </c>
      <c r="E16" s="61" t="s">
        <v>917</v>
      </c>
      <c r="F16" s="61"/>
      <c r="G16" s="61" t="s">
        <v>1107</v>
      </c>
      <c r="H16" s="61"/>
      <c r="I16" t="s">
        <v>1099</v>
      </c>
      <c r="J16" t="s">
        <v>420</v>
      </c>
      <c r="K16" t="s">
        <v>6</v>
      </c>
      <c r="L16" t="s">
        <v>409</v>
      </c>
      <c r="M16" t="s">
        <v>141</v>
      </c>
      <c r="N16" t="s">
        <v>2</v>
      </c>
      <c r="O16" t="s">
        <v>149</v>
      </c>
      <c r="P16" t="s">
        <v>16</v>
      </c>
      <c r="Q16" t="s">
        <v>185</v>
      </c>
    </row>
    <row r="17" spans="1:19">
      <c r="A17" s="61" t="s">
        <v>11</v>
      </c>
      <c r="B17" s="61" t="s">
        <v>144</v>
      </c>
      <c r="C17" s="61" t="s">
        <v>30</v>
      </c>
      <c r="D17" s="61" t="s">
        <v>156</v>
      </c>
      <c r="E17" s="61" t="s">
        <v>914</v>
      </c>
      <c r="F17" s="61"/>
      <c r="G17" s="61" t="s">
        <v>1107</v>
      </c>
      <c r="H17" s="61"/>
      <c r="I17" t="s">
        <v>1099</v>
      </c>
      <c r="J17" t="s">
        <v>420</v>
      </c>
      <c r="K17" t="s">
        <v>6</v>
      </c>
      <c r="L17" t="s">
        <v>409</v>
      </c>
      <c r="M17" t="s">
        <v>141</v>
      </c>
      <c r="N17" t="s">
        <v>2</v>
      </c>
      <c r="O17" t="s">
        <v>149</v>
      </c>
      <c r="P17" t="s">
        <v>16</v>
      </c>
      <c r="Q17" t="s">
        <v>185</v>
      </c>
    </row>
    <row r="18" spans="1:19">
      <c r="A18" s="61" t="s">
        <v>11</v>
      </c>
      <c r="B18" s="61" t="s">
        <v>144</v>
      </c>
      <c r="C18" s="61" t="s">
        <v>30</v>
      </c>
      <c r="D18" s="61" t="s">
        <v>156</v>
      </c>
      <c r="E18" s="61" t="s">
        <v>209</v>
      </c>
      <c r="F18" s="61" t="s">
        <v>208</v>
      </c>
      <c r="G18" s="61" t="s">
        <v>1107</v>
      </c>
      <c r="H18" s="61"/>
      <c r="I18" t="s">
        <v>1099</v>
      </c>
      <c r="J18" t="s">
        <v>420</v>
      </c>
      <c r="K18" t="s">
        <v>6</v>
      </c>
      <c r="L18" t="s">
        <v>409</v>
      </c>
      <c r="M18" t="s">
        <v>141</v>
      </c>
      <c r="N18" t="s">
        <v>2</v>
      </c>
      <c r="O18" t="s">
        <v>149</v>
      </c>
      <c r="P18" t="s">
        <v>16</v>
      </c>
      <c r="Q18" t="s">
        <v>185</v>
      </c>
      <c r="R18">
        <v>14.219573</v>
      </c>
      <c r="S18">
        <v>10.528294000000001</v>
      </c>
    </row>
    <row r="19" spans="1:19">
      <c r="A19" s="61" t="s">
        <v>11</v>
      </c>
      <c r="B19" s="61" t="s">
        <v>144</v>
      </c>
      <c r="C19" s="61" t="s">
        <v>34</v>
      </c>
      <c r="D19" s="61" t="s">
        <v>150</v>
      </c>
      <c r="E19" s="61" t="s">
        <v>189</v>
      </c>
      <c r="F19" s="61"/>
      <c r="G19" s="61" t="s">
        <v>1107</v>
      </c>
      <c r="H19" s="61"/>
      <c r="I19" t="s">
        <v>1099</v>
      </c>
      <c r="J19" t="s">
        <v>420</v>
      </c>
      <c r="K19" t="s">
        <v>6</v>
      </c>
      <c r="L19" t="s">
        <v>409</v>
      </c>
      <c r="M19" t="s">
        <v>141</v>
      </c>
      <c r="N19" t="s">
        <v>27</v>
      </c>
      <c r="O19" t="s">
        <v>148</v>
      </c>
      <c r="P19" t="s">
        <v>28</v>
      </c>
      <c r="Q19" t="s">
        <v>179</v>
      </c>
    </row>
    <row r="20" spans="1:19">
      <c r="A20" s="61" t="s">
        <v>11</v>
      </c>
      <c r="B20" s="61" t="s">
        <v>144</v>
      </c>
      <c r="C20" s="61" t="s">
        <v>24</v>
      </c>
      <c r="D20" s="61" t="s">
        <v>151</v>
      </c>
      <c r="E20" s="61" t="s">
        <v>656</v>
      </c>
      <c r="F20" s="61"/>
      <c r="G20" s="61" t="s">
        <v>1107</v>
      </c>
      <c r="H20" s="61"/>
      <c r="I20" t="s">
        <v>1099</v>
      </c>
      <c r="J20" t="s">
        <v>420</v>
      </c>
      <c r="K20" t="s">
        <v>6</v>
      </c>
      <c r="L20" t="s">
        <v>409</v>
      </c>
      <c r="M20" t="s">
        <v>141</v>
      </c>
      <c r="N20" t="s">
        <v>27</v>
      </c>
      <c r="O20" t="s">
        <v>148</v>
      </c>
      <c r="P20" t="s">
        <v>33</v>
      </c>
      <c r="Q20" t="s">
        <v>178</v>
      </c>
    </row>
    <row r="21" spans="1:19">
      <c r="A21" s="61" t="s">
        <v>11</v>
      </c>
      <c r="B21" s="61" t="s">
        <v>144</v>
      </c>
      <c r="C21" s="61" t="s">
        <v>23</v>
      </c>
      <c r="D21" s="61" t="s">
        <v>155</v>
      </c>
      <c r="E21" s="61" t="s">
        <v>864</v>
      </c>
      <c r="F21" s="61" t="s">
        <v>865</v>
      </c>
      <c r="G21" s="61" t="s">
        <v>1108</v>
      </c>
      <c r="H21" s="61" t="s">
        <v>866</v>
      </c>
      <c r="I21" t="s">
        <v>1099</v>
      </c>
      <c r="J21" t="s">
        <v>420</v>
      </c>
      <c r="K21" t="s">
        <v>6</v>
      </c>
      <c r="L21" t="s">
        <v>409</v>
      </c>
      <c r="M21" t="s">
        <v>141</v>
      </c>
      <c r="N21" t="s">
        <v>7</v>
      </c>
      <c r="O21" t="s">
        <v>145</v>
      </c>
      <c r="P21" t="s">
        <v>8</v>
      </c>
      <c r="Q21" t="s">
        <v>165</v>
      </c>
      <c r="R21">
        <v>14.121532</v>
      </c>
      <c r="S21">
        <v>10.773517</v>
      </c>
    </row>
    <row r="22" spans="1:19">
      <c r="A22" s="61" t="s">
        <v>11</v>
      </c>
      <c r="B22" s="61" t="s">
        <v>144</v>
      </c>
      <c r="C22" s="61" t="s">
        <v>133</v>
      </c>
      <c r="D22" s="61" t="s">
        <v>152</v>
      </c>
      <c r="E22" s="61" t="s">
        <v>918</v>
      </c>
      <c r="F22" s="61"/>
      <c r="G22" s="61" t="s">
        <v>1107</v>
      </c>
      <c r="H22" s="61"/>
      <c r="I22" t="s">
        <v>1099</v>
      </c>
      <c r="J22" t="s">
        <v>420</v>
      </c>
      <c r="K22" t="s">
        <v>6</v>
      </c>
      <c r="L22" t="s">
        <v>409</v>
      </c>
      <c r="M22" t="s">
        <v>141</v>
      </c>
      <c r="N22" t="s">
        <v>27</v>
      </c>
      <c r="O22" t="s">
        <v>148</v>
      </c>
      <c r="P22" t="s">
        <v>28</v>
      </c>
      <c r="Q22" t="s">
        <v>179</v>
      </c>
    </row>
    <row r="23" spans="1:19">
      <c r="A23" s="61" t="s">
        <v>11</v>
      </c>
      <c r="B23" s="61" t="s">
        <v>144</v>
      </c>
      <c r="C23" s="61" t="s">
        <v>133</v>
      </c>
      <c r="D23" s="61" t="s">
        <v>152</v>
      </c>
      <c r="E23" s="61" t="s">
        <v>49</v>
      </c>
      <c r="F23" s="61"/>
      <c r="G23" s="61" t="s">
        <v>1107</v>
      </c>
      <c r="H23" s="61"/>
      <c r="I23" t="s">
        <v>1099</v>
      </c>
      <c r="J23" t="s">
        <v>420</v>
      </c>
      <c r="K23" t="s">
        <v>6</v>
      </c>
      <c r="L23" t="s">
        <v>409</v>
      </c>
      <c r="M23" t="s">
        <v>141</v>
      </c>
      <c r="N23" t="s">
        <v>7</v>
      </c>
      <c r="O23" t="s">
        <v>145</v>
      </c>
      <c r="P23" t="s">
        <v>8</v>
      </c>
      <c r="Q23" t="s">
        <v>165</v>
      </c>
    </row>
    <row r="24" spans="1:19">
      <c r="A24" s="61" t="s">
        <v>11</v>
      </c>
      <c r="B24" s="61" t="s">
        <v>144</v>
      </c>
      <c r="C24" s="61" t="s">
        <v>133</v>
      </c>
      <c r="D24" s="61" t="s">
        <v>152</v>
      </c>
      <c r="E24" s="61" t="s">
        <v>919</v>
      </c>
      <c r="F24" s="61"/>
      <c r="G24" s="61" t="s">
        <v>1107</v>
      </c>
      <c r="H24" s="61"/>
      <c r="I24" t="s">
        <v>1099</v>
      </c>
      <c r="J24" t="s">
        <v>420</v>
      </c>
      <c r="K24" t="s">
        <v>6</v>
      </c>
      <c r="L24" t="s">
        <v>409</v>
      </c>
      <c r="M24" t="s">
        <v>141</v>
      </c>
      <c r="N24" t="s">
        <v>27</v>
      </c>
      <c r="O24" t="s">
        <v>148</v>
      </c>
      <c r="P24" t="s">
        <v>28</v>
      </c>
      <c r="Q24" t="s">
        <v>179</v>
      </c>
    </row>
    <row r="25" spans="1:19">
      <c r="A25" s="61" t="s">
        <v>11</v>
      </c>
      <c r="B25" s="61" t="s">
        <v>144</v>
      </c>
      <c r="C25" s="61" t="s">
        <v>133</v>
      </c>
      <c r="D25" s="61" t="s">
        <v>152</v>
      </c>
      <c r="E25" s="61" t="s">
        <v>920</v>
      </c>
      <c r="F25" s="61"/>
      <c r="G25" s="61" t="s">
        <v>1107</v>
      </c>
      <c r="H25" s="61"/>
      <c r="I25" t="s">
        <v>1099</v>
      </c>
      <c r="J25" t="s">
        <v>420</v>
      </c>
      <c r="K25" t="s">
        <v>6</v>
      </c>
      <c r="L25" t="s">
        <v>409</v>
      </c>
      <c r="M25" t="s">
        <v>141</v>
      </c>
      <c r="N25" t="s">
        <v>27</v>
      </c>
      <c r="O25" t="s">
        <v>148</v>
      </c>
      <c r="P25" t="s">
        <v>28</v>
      </c>
      <c r="Q25" t="s">
        <v>179</v>
      </c>
    </row>
    <row r="26" spans="1:19">
      <c r="A26" s="61" t="s">
        <v>11</v>
      </c>
      <c r="B26" s="61" t="s">
        <v>144</v>
      </c>
      <c r="C26" s="61" t="s">
        <v>133</v>
      </c>
      <c r="D26" s="61" t="s">
        <v>152</v>
      </c>
      <c r="E26" s="61" t="s">
        <v>921</v>
      </c>
      <c r="F26" s="61"/>
      <c r="G26" s="61" t="s">
        <v>1107</v>
      </c>
      <c r="H26" s="61"/>
      <c r="I26" t="s">
        <v>1099</v>
      </c>
      <c r="J26" t="s">
        <v>420</v>
      </c>
      <c r="K26" t="s">
        <v>6</v>
      </c>
      <c r="L26" t="s">
        <v>409</v>
      </c>
      <c r="M26" t="s">
        <v>141</v>
      </c>
      <c r="N26" t="s">
        <v>27</v>
      </c>
      <c r="O26" t="s">
        <v>148</v>
      </c>
      <c r="P26" t="s">
        <v>28</v>
      </c>
      <c r="Q26" t="s">
        <v>179</v>
      </c>
    </row>
    <row r="27" spans="1:19">
      <c r="A27" s="61" t="s">
        <v>11</v>
      </c>
      <c r="B27" s="61" t="s">
        <v>144</v>
      </c>
      <c r="C27" s="61" t="s">
        <v>133</v>
      </c>
      <c r="D27" s="61" t="s">
        <v>152</v>
      </c>
      <c r="E27" s="61" t="s">
        <v>923</v>
      </c>
      <c r="F27" s="61"/>
      <c r="G27" s="61" t="s">
        <v>1107</v>
      </c>
      <c r="H27" s="61"/>
      <c r="I27" t="s">
        <v>1099</v>
      </c>
      <c r="J27" t="s">
        <v>420</v>
      </c>
      <c r="K27" t="s">
        <v>6</v>
      </c>
      <c r="L27" t="s">
        <v>409</v>
      </c>
      <c r="M27" t="s">
        <v>141</v>
      </c>
      <c r="N27" t="s">
        <v>27</v>
      </c>
      <c r="O27" t="s">
        <v>148</v>
      </c>
      <c r="P27" t="s">
        <v>28</v>
      </c>
      <c r="Q27" t="s">
        <v>179</v>
      </c>
    </row>
    <row r="28" spans="1:19">
      <c r="A28" t="s">
        <v>11</v>
      </c>
      <c r="B28" t="s">
        <v>144</v>
      </c>
      <c r="C28" t="s">
        <v>133</v>
      </c>
      <c r="D28" t="s">
        <v>152</v>
      </c>
      <c r="E28" t="s">
        <v>922</v>
      </c>
      <c r="G28" t="s">
        <v>1107</v>
      </c>
      <c r="I28" t="s">
        <v>1099</v>
      </c>
      <c r="J28" t="s">
        <v>420</v>
      </c>
      <c r="K28" t="s">
        <v>6</v>
      </c>
      <c r="L28" t="s">
        <v>409</v>
      </c>
      <c r="M28" t="s">
        <v>141</v>
      </c>
      <c r="N28" t="s">
        <v>27</v>
      </c>
      <c r="O28" t="s">
        <v>148</v>
      </c>
      <c r="P28" t="s">
        <v>28</v>
      </c>
      <c r="Q28" t="s">
        <v>179</v>
      </c>
    </row>
    <row r="29" spans="1:19">
      <c r="A29" t="s">
        <v>11</v>
      </c>
      <c r="B29" t="s">
        <v>144</v>
      </c>
      <c r="C29" t="s">
        <v>133</v>
      </c>
      <c r="D29" t="s">
        <v>152</v>
      </c>
      <c r="E29" t="s">
        <v>924</v>
      </c>
      <c r="G29" t="s">
        <v>1107</v>
      </c>
      <c r="I29" t="s">
        <v>1099</v>
      </c>
      <c r="J29" t="s">
        <v>420</v>
      </c>
      <c r="K29" t="s">
        <v>6</v>
      </c>
      <c r="L29" t="s">
        <v>409</v>
      </c>
      <c r="M29" t="s">
        <v>141</v>
      </c>
      <c r="N29" t="s">
        <v>27</v>
      </c>
      <c r="O29" t="s">
        <v>148</v>
      </c>
      <c r="P29" t="s">
        <v>28</v>
      </c>
      <c r="Q29" t="s">
        <v>179</v>
      </c>
    </row>
    <row r="30" spans="1:19">
      <c r="A30" t="s">
        <v>11</v>
      </c>
      <c r="B30" t="s">
        <v>144</v>
      </c>
      <c r="C30" t="s">
        <v>133</v>
      </c>
      <c r="D30" t="s">
        <v>152</v>
      </c>
      <c r="E30" t="s">
        <v>190</v>
      </c>
      <c r="G30" t="s">
        <v>1107</v>
      </c>
      <c r="I30" t="s">
        <v>1099</v>
      </c>
      <c r="J30" t="s">
        <v>420</v>
      </c>
      <c r="K30" t="s">
        <v>6</v>
      </c>
      <c r="L30" t="s">
        <v>409</v>
      </c>
      <c r="M30" t="s">
        <v>141</v>
      </c>
      <c r="N30" t="s">
        <v>27</v>
      </c>
      <c r="O30" t="s">
        <v>148</v>
      </c>
      <c r="P30" t="s">
        <v>28</v>
      </c>
      <c r="Q30" t="s">
        <v>179</v>
      </c>
    </row>
    <row r="31" spans="1:19">
      <c r="A31" t="s">
        <v>11</v>
      </c>
      <c r="B31" t="s">
        <v>144</v>
      </c>
      <c r="C31" t="s">
        <v>133</v>
      </c>
      <c r="D31" t="s">
        <v>152</v>
      </c>
      <c r="E31" t="s">
        <v>925</v>
      </c>
      <c r="G31" t="s">
        <v>1107</v>
      </c>
      <c r="I31" t="s">
        <v>1099</v>
      </c>
      <c r="J31" t="s">
        <v>420</v>
      </c>
      <c r="K31" t="s">
        <v>6</v>
      </c>
      <c r="L31" t="s">
        <v>409</v>
      </c>
      <c r="M31" t="s">
        <v>141</v>
      </c>
      <c r="N31" t="s">
        <v>27</v>
      </c>
      <c r="O31" t="s">
        <v>148</v>
      </c>
      <c r="P31" t="s">
        <v>28</v>
      </c>
      <c r="Q31" t="s">
        <v>179</v>
      </c>
    </row>
    <row r="32" spans="1:19">
      <c r="A32" t="s">
        <v>11</v>
      </c>
      <c r="B32" t="s">
        <v>144</v>
      </c>
      <c r="C32" t="s">
        <v>133</v>
      </c>
      <c r="D32" t="s">
        <v>152</v>
      </c>
      <c r="E32" t="s">
        <v>926</v>
      </c>
      <c r="G32" t="s">
        <v>1107</v>
      </c>
      <c r="I32" t="s">
        <v>1099</v>
      </c>
      <c r="J32" t="s">
        <v>420</v>
      </c>
      <c r="K32" t="s">
        <v>6</v>
      </c>
      <c r="L32" t="s">
        <v>409</v>
      </c>
      <c r="M32" t="s">
        <v>141</v>
      </c>
      <c r="N32" t="s">
        <v>27</v>
      </c>
      <c r="O32" t="s">
        <v>148</v>
      </c>
      <c r="P32" t="s">
        <v>28</v>
      </c>
      <c r="Q32" t="s">
        <v>179</v>
      </c>
    </row>
    <row r="33" spans="1:19">
      <c r="A33" t="s">
        <v>11</v>
      </c>
      <c r="B33" t="s">
        <v>144</v>
      </c>
      <c r="C33" t="s">
        <v>133</v>
      </c>
      <c r="D33" t="s">
        <v>152</v>
      </c>
      <c r="E33" t="s">
        <v>52</v>
      </c>
      <c r="G33" t="s">
        <v>1108</v>
      </c>
      <c r="H33" t="s">
        <v>52</v>
      </c>
      <c r="I33" t="s">
        <v>1099</v>
      </c>
      <c r="J33" t="s">
        <v>420</v>
      </c>
      <c r="K33" t="s">
        <v>6</v>
      </c>
      <c r="L33" t="s">
        <v>409</v>
      </c>
      <c r="M33" t="s">
        <v>141</v>
      </c>
      <c r="N33" t="s">
        <v>27</v>
      </c>
      <c r="O33" t="s">
        <v>148</v>
      </c>
      <c r="P33" t="s">
        <v>28</v>
      </c>
      <c r="Q33" t="s">
        <v>179</v>
      </c>
    </row>
    <row r="34" spans="1:19">
      <c r="A34" t="s">
        <v>11</v>
      </c>
      <c r="B34" t="s">
        <v>144</v>
      </c>
      <c r="C34" t="s">
        <v>133</v>
      </c>
      <c r="D34" t="s">
        <v>152</v>
      </c>
      <c r="E34" t="s">
        <v>927</v>
      </c>
      <c r="G34" t="s">
        <v>1107</v>
      </c>
      <c r="I34" t="s">
        <v>1099</v>
      </c>
      <c r="J34" t="s">
        <v>420</v>
      </c>
      <c r="K34" t="s">
        <v>6</v>
      </c>
      <c r="L34" t="s">
        <v>409</v>
      </c>
      <c r="M34" t="s">
        <v>141</v>
      </c>
      <c r="N34" t="s">
        <v>27</v>
      </c>
      <c r="O34" t="s">
        <v>148</v>
      </c>
      <c r="P34" t="s">
        <v>28</v>
      </c>
      <c r="Q34" t="s">
        <v>179</v>
      </c>
    </row>
    <row r="35" spans="1:19">
      <c r="A35" t="s">
        <v>11</v>
      </c>
      <c r="B35" t="s">
        <v>144</v>
      </c>
      <c r="C35" t="s">
        <v>133</v>
      </c>
      <c r="D35" t="s">
        <v>152</v>
      </c>
      <c r="E35" t="s">
        <v>928</v>
      </c>
      <c r="G35" t="s">
        <v>1107</v>
      </c>
      <c r="I35" t="s">
        <v>1099</v>
      </c>
      <c r="J35" t="s">
        <v>420</v>
      </c>
      <c r="K35" t="s">
        <v>6</v>
      </c>
      <c r="L35" t="s">
        <v>409</v>
      </c>
      <c r="M35" t="s">
        <v>141</v>
      </c>
      <c r="N35" t="s">
        <v>27</v>
      </c>
      <c r="O35" t="s">
        <v>148</v>
      </c>
      <c r="P35" t="s">
        <v>28</v>
      </c>
      <c r="Q35" t="s">
        <v>179</v>
      </c>
    </row>
    <row r="36" spans="1:19">
      <c r="A36" t="s">
        <v>11</v>
      </c>
      <c r="B36" t="s">
        <v>144</v>
      </c>
      <c r="C36" t="s">
        <v>133</v>
      </c>
      <c r="D36" t="s">
        <v>152</v>
      </c>
      <c r="E36" t="s">
        <v>932</v>
      </c>
      <c r="G36" t="s">
        <v>1107</v>
      </c>
      <c r="I36" t="s">
        <v>1099</v>
      </c>
      <c r="J36" t="s">
        <v>420</v>
      </c>
      <c r="K36" t="s">
        <v>6</v>
      </c>
      <c r="L36" t="s">
        <v>409</v>
      </c>
      <c r="M36" t="s">
        <v>141</v>
      </c>
      <c r="N36" t="s">
        <v>27</v>
      </c>
      <c r="O36" t="s">
        <v>148</v>
      </c>
      <c r="P36" t="s">
        <v>28</v>
      </c>
      <c r="Q36" t="s">
        <v>179</v>
      </c>
    </row>
    <row r="37" spans="1:19">
      <c r="A37" t="s">
        <v>11</v>
      </c>
      <c r="B37" t="s">
        <v>144</v>
      </c>
      <c r="C37" t="s">
        <v>133</v>
      </c>
      <c r="D37" t="s">
        <v>152</v>
      </c>
      <c r="E37" t="s">
        <v>933</v>
      </c>
      <c r="G37" t="s">
        <v>1107</v>
      </c>
      <c r="I37" t="s">
        <v>1099</v>
      </c>
      <c r="J37" t="s">
        <v>420</v>
      </c>
      <c r="K37" t="s">
        <v>6</v>
      </c>
      <c r="L37" t="s">
        <v>409</v>
      </c>
      <c r="M37" t="s">
        <v>141</v>
      </c>
      <c r="N37" t="s">
        <v>27</v>
      </c>
      <c r="O37" t="s">
        <v>148</v>
      </c>
      <c r="P37" t="s">
        <v>28</v>
      </c>
      <c r="Q37" t="s">
        <v>179</v>
      </c>
    </row>
    <row r="38" spans="1:19">
      <c r="A38" t="s">
        <v>11</v>
      </c>
      <c r="B38" t="s">
        <v>144</v>
      </c>
      <c r="C38" t="s">
        <v>133</v>
      </c>
      <c r="D38" t="s">
        <v>152</v>
      </c>
      <c r="E38" t="s">
        <v>191</v>
      </c>
      <c r="G38" t="s">
        <v>1107</v>
      </c>
      <c r="I38" t="s">
        <v>1099</v>
      </c>
      <c r="J38" t="s">
        <v>420</v>
      </c>
      <c r="K38" t="s">
        <v>6</v>
      </c>
      <c r="L38" t="s">
        <v>409</v>
      </c>
      <c r="M38" t="s">
        <v>141</v>
      </c>
      <c r="N38" t="s">
        <v>27</v>
      </c>
      <c r="O38" t="s">
        <v>148</v>
      </c>
      <c r="P38" t="s">
        <v>28</v>
      </c>
      <c r="Q38" t="s">
        <v>179</v>
      </c>
    </row>
    <row r="39" spans="1:19">
      <c r="A39" t="s">
        <v>11</v>
      </c>
      <c r="B39" t="s">
        <v>144</v>
      </c>
      <c r="C39" t="s">
        <v>133</v>
      </c>
      <c r="D39" t="s">
        <v>152</v>
      </c>
      <c r="E39" t="s">
        <v>934</v>
      </c>
      <c r="G39" t="s">
        <v>1107</v>
      </c>
      <c r="I39" t="s">
        <v>1099</v>
      </c>
      <c r="J39" t="s">
        <v>420</v>
      </c>
      <c r="K39" t="s">
        <v>6</v>
      </c>
      <c r="L39" t="s">
        <v>409</v>
      </c>
      <c r="M39" t="s">
        <v>141</v>
      </c>
      <c r="N39" t="s">
        <v>27</v>
      </c>
      <c r="O39" t="s">
        <v>148</v>
      </c>
      <c r="P39" t="s">
        <v>28</v>
      </c>
      <c r="Q39" t="s">
        <v>179</v>
      </c>
    </row>
    <row r="40" spans="1:19">
      <c r="A40" t="s">
        <v>11</v>
      </c>
      <c r="B40" t="s">
        <v>144</v>
      </c>
      <c r="C40" t="s">
        <v>133</v>
      </c>
      <c r="D40" t="s">
        <v>152</v>
      </c>
      <c r="E40" t="s">
        <v>935</v>
      </c>
      <c r="G40" t="s">
        <v>1107</v>
      </c>
      <c r="I40" t="s">
        <v>1099</v>
      </c>
      <c r="J40" t="s">
        <v>420</v>
      </c>
      <c r="K40" t="s">
        <v>6</v>
      </c>
      <c r="L40" t="s">
        <v>409</v>
      </c>
      <c r="M40" t="s">
        <v>141</v>
      </c>
      <c r="N40" t="s">
        <v>27</v>
      </c>
      <c r="O40" t="s">
        <v>148</v>
      </c>
      <c r="P40" t="s">
        <v>28</v>
      </c>
      <c r="Q40" t="s">
        <v>179</v>
      </c>
    </row>
    <row r="41" spans="1:19">
      <c r="A41" t="s">
        <v>11</v>
      </c>
      <c r="B41" t="s">
        <v>144</v>
      </c>
      <c r="C41" t="s">
        <v>133</v>
      </c>
      <c r="D41" t="s">
        <v>152</v>
      </c>
      <c r="E41" t="s">
        <v>936</v>
      </c>
      <c r="G41" t="s">
        <v>1107</v>
      </c>
      <c r="I41" t="s">
        <v>1099</v>
      </c>
      <c r="J41" t="s">
        <v>420</v>
      </c>
      <c r="K41" t="s">
        <v>6</v>
      </c>
      <c r="L41" t="s">
        <v>409</v>
      </c>
      <c r="M41" t="s">
        <v>141</v>
      </c>
      <c r="N41" t="s">
        <v>27</v>
      </c>
      <c r="O41" t="s">
        <v>148</v>
      </c>
      <c r="P41" t="s">
        <v>28</v>
      </c>
      <c r="Q41" t="s">
        <v>179</v>
      </c>
    </row>
    <row r="42" spans="1:19">
      <c r="A42" t="s">
        <v>11</v>
      </c>
      <c r="B42" t="s">
        <v>144</v>
      </c>
      <c r="C42" t="s">
        <v>133</v>
      </c>
      <c r="D42" t="s">
        <v>152</v>
      </c>
      <c r="E42" t="s">
        <v>206</v>
      </c>
      <c r="F42" t="s">
        <v>50</v>
      </c>
      <c r="G42" t="s">
        <v>1107</v>
      </c>
      <c r="I42" t="s">
        <v>1099</v>
      </c>
      <c r="J42" t="s">
        <v>420</v>
      </c>
      <c r="K42" t="s">
        <v>6</v>
      </c>
      <c r="L42" t="s">
        <v>409</v>
      </c>
      <c r="M42" t="s">
        <v>141</v>
      </c>
      <c r="N42" t="s">
        <v>27</v>
      </c>
      <c r="O42" t="s">
        <v>148</v>
      </c>
      <c r="P42" t="s">
        <v>28</v>
      </c>
      <c r="Q42" t="s">
        <v>179</v>
      </c>
      <c r="R42">
        <v>14.436938</v>
      </c>
      <c r="S42">
        <v>11.041551</v>
      </c>
    </row>
    <row r="43" spans="1:19">
      <c r="A43" t="s">
        <v>11</v>
      </c>
      <c r="B43" t="s">
        <v>144</v>
      </c>
      <c r="C43" t="s">
        <v>133</v>
      </c>
      <c r="D43" t="s">
        <v>152</v>
      </c>
      <c r="E43" t="s">
        <v>207</v>
      </c>
      <c r="F43" t="s">
        <v>51</v>
      </c>
      <c r="G43" t="s">
        <v>1107</v>
      </c>
      <c r="I43" t="s">
        <v>1099</v>
      </c>
      <c r="J43" t="s">
        <v>420</v>
      </c>
      <c r="K43" t="s">
        <v>6</v>
      </c>
      <c r="L43" t="s">
        <v>409</v>
      </c>
      <c r="M43" t="s">
        <v>141</v>
      </c>
      <c r="N43" t="s">
        <v>27</v>
      </c>
      <c r="O43" t="s">
        <v>148</v>
      </c>
      <c r="P43" t="s">
        <v>28</v>
      </c>
      <c r="Q43" t="s">
        <v>179</v>
      </c>
      <c r="R43">
        <v>14.478745999999999</v>
      </c>
      <c r="S43">
        <v>11.084294</v>
      </c>
    </row>
    <row r="44" spans="1:19">
      <c r="A44" t="s">
        <v>11</v>
      </c>
      <c r="B44" t="s">
        <v>144</v>
      </c>
      <c r="C44" t="s">
        <v>133</v>
      </c>
      <c r="D44" t="s">
        <v>152</v>
      </c>
      <c r="E44" t="s">
        <v>211</v>
      </c>
      <c r="F44" t="s">
        <v>210</v>
      </c>
      <c r="G44" t="s">
        <v>1107</v>
      </c>
      <c r="I44" t="s">
        <v>1099</v>
      </c>
      <c r="J44" t="s">
        <v>420</v>
      </c>
      <c r="K44" t="s">
        <v>6</v>
      </c>
      <c r="L44" t="s">
        <v>409</v>
      </c>
      <c r="M44" t="s">
        <v>141</v>
      </c>
      <c r="N44" t="s">
        <v>27</v>
      </c>
      <c r="O44" t="s">
        <v>148</v>
      </c>
      <c r="P44" t="s">
        <v>28</v>
      </c>
      <c r="Q44" t="s">
        <v>179</v>
      </c>
      <c r="R44">
        <v>14.422222</v>
      </c>
      <c r="S44">
        <v>11.052222</v>
      </c>
    </row>
    <row r="45" spans="1:19">
      <c r="A45" t="s">
        <v>11</v>
      </c>
      <c r="B45" t="s">
        <v>144</v>
      </c>
      <c r="C45" t="s">
        <v>133</v>
      </c>
      <c r="D45" t="s">
        <v>152</v>
      </c>
      <c r="E45" t="s">
        <v>212</v>
      </c>
      <c r="F45" t="s">
        <v>53</v>
      </c>
      <c r="G45" t="s">
        <v>1107</v>
      </c>
      <c r="I45" t="s">
        <v>1099</v>
      </c>
      <c r="J45" t="s">
        <v>420</v>
      </c>
      <c r="K45" t="s">
        <v>6</v>
      </c>
      <c r="L45" t="s">
        <v>409</v>
      </c>
      <c r="M45" t="s">
        <v>141</v>
      </c>
      <c r="N45" t="s">
        <v>27</v>
      </c>
      <c r="O45" t="s">
        <v>148</v>
      </c>
      <c r="P45" t="s">
        <v>28</v>
      </c>
      <c r="Q45" t="s">
        <v>179</v>
      </c>
      <c r="R45">
        <v>14.490655</v>
      </c>
      <c r="S45">
        <v>10.992988</v>
      </c>
    </row>
    <row r="46" spans="1:19">
      <c r="A46" t="s">
        <v>11</v>
      </c>
      <c r="B46" t="s">
        <v>144</v>
      </c>
      <c r="C46" t="s">
        <v>133</v>
      </c>
      <c r="D46" t="s">
        <v>152</v>
      </c>
      <c r="E46" t="s">
        <v>929</v>
      </c>
      <c r="F46" t="s">
        <v>54</v>
      </c>
      <c r="G46" t="s">
        <v>1107</v>
      </c>
      <c r="I46" t="s">
        <v>1099</v>
      </c>
      <c r="J46" t="s">
        <v>420</v>
      </c>
      <c r="K46" t="s">
        <v>6</v>
      </c>
      <c r="L46" t="s">
        <v>409</v>
      </c>
      <c r="M46" t="s">
        <v>141</v>
      </c>
      <c r="N46" t="s">
        <v>27</v>
      </c>
      <c r="O46" t="s">
        <v>148</v>
      </c>
      <c r="P46" t="s">
        <v>28</v>
      </c>
      <c r="Q46" t="s">
        <v>179</v>
      </c>
      <c r="R46">
        <v>14.65706</v>
      </c>
      <c r="S46">
        <v>10.951924</v>
      </c>
    </row>
    <row r="47" spans="1:19">
      <c r="A47" t="s">
        <v>11</v>
      </c>
      <c r="B47" t="s">
        <v>144</v>
      </c>
      <c r="C47" t="s">
        <v>133</v>
      </c>
      <c r="D47" t="s">
        <v>152</v>
      </c>
      <c r="E47" t="s">
        <v>930</v>
      </c>
      <c r="F47" t="s">
        <v>931</v>
      </c>
      <c r="G47" t="s">
        <v>1107</v>
      </c>
      <c r="I47" t="s">
        <v>1099</v>
      </c>
      <c r="J47" t="s">
        <v>420</v>
      </c>
      <c r="K47" t="s">
        <v>6</v>
      </c>
      <c r="L47" t="s">
        <v>409</v>
      </c>
      <c r="M47" t="s">
        <v>141</v>
      </c>
      <c r="N47" t="s">
        <v>27</v>
      </c>
      <c r="O47" t="s">
        <v>148</v>
      </c>
      <c r="P47" t="s">
        <v>28</v>
      </c>
      <c r="Q47" t="s">
        <v>179</v>
      </c>
      <c r="R47">
        <v>14.632802</v>
      </c>
      <c r="S47">
        <v>10.992774000000001</v>
      </c>
    </row>
    <row r="48" spans="1:19">
      <c r="A48" t="s">
        <v>7</v>
      </c>
      <c r="B48" t="s">
        <v>145</v>
      </c>
      <c r="C48" t="s">
        <v>18</v>
      </c>
      <c r="D48" t="s">
        <v>158</v>
      </c>
      <c r="E48" t="s">
        <v>651</v>
      </c>
      <c r="F48" t="s">
        <v>652</v>
      </c>
      <c r="G48" t="s">
        <v>1107</v>
      </c>
      <c r="I48" t="s">
        <v>1099</v>
      </c>
      <c r="J48" t="s">
        <v>420</v>
      </c>
      <c r="K48" t="s">
        <v>6</v>
      </c>
      <c r="L48" t="s">
        <v>409</v>
      </c>
      <c r="M48" t="s">
        <v>141</v>
      </c>
      <c r="N48" t="s">
        <v>7</v>
      </c>
      <c r="O48" t="s">
        <v>145</v>
      </c>
      <c r="P48" t="s">
        <v>8</v>
      </c>
      <c r="Q48" t="s">
        <v>165</v>
      </c>
      <c r="R48">
        <v>14.641296000000001</v>
      </c>
      <c r="S48">
        <v>12.731612999999999</v>
      </c>
    </row>
    <row r="49" spans="1:19">
      <c r="A49" t="s">
        <v>7</v>
      </c>
      <c r="B49" t="s">
        <v>145</v>
      </c>
      <c r="C49" t="s">
        <v>18</v>
      </c>
      <c r="D49" t="s">
        <v>158</v>
      </c>
      <c r="E49" t="s">
        <v>653</v>
      </c>
      <c r="F49" t="s">
        <v>654</v>
      </c>
      <c r="G49" t="s">
        <v>1107</v>
      </c>
      <c r="I49" t="s">
        <v>1099</v>
      </c>
      <c r="J49" t="s">
        <v>420</v>
      </c>
      <c r="K49" t="s">
        <v>6</v>
      </c>
      <c r="L49" t="s">
        <v>409</v>
      </c>
      <c r="M49" t="s">
        <v>141</v>
      </c>
      <c r="N49" t="s">
        <v>7</v>
      </c>
      <c r="O49" t="s">
        <v>145</v>
      </c>
      <c r="P49" t="s">
        <v>21</v>
      </c>
      <c r="Q49" t="s">
        <v>164</v>
      </c>
      <c r="R49">
        <v>14.877769000000001</v>
      </c>
      <c r="S49">
        <v>12.200200000000001</v>
      </c>
    </row>
    <row r="50" spans="1:19">
      <c r="A50" t="s">
        <v>7</v>
      </c>
      <c r="B50" t="s">
        <v>145</v>
      </c>
      <c r="C50" t="s">
        <v>18</v>
      </c>
      <c r="D50" t="s">
        <v>158</v>
      </c>
      <c r="E50" t="s">
        <v>192</v>
      </c>
      <c r="G50" t="s">
        <v>1107</v>
      </c>
      <c r="I50" t="s">
        <v>1099</v>
      </c>
      <c r="J50" t="s">
        <v>420</v>
      </c>
      <c r="K50" t="s">
        <v>6</v>
      </c>
      <c r="L50" t="s">
        <v>409</v>
      </c>
      <c r="M50" t="s">
        <v>141</v>
      </c>
      <c r="N50" t="s">
        <v>7</v>
      </c>
      <c r="O50" t="s">
        <v>145</v>
      </c>
      <c r="P50" t="s">
        <v>21</v>
      </c>
      <c r="Q50" t="s">
        <v>164</v>
      </c>
    </row>
    <row r="51" spans="1:19">
      <c r="A51" t="s">
        <v>7</v>
      </c>
      <c r="B51" t="s">
        <v>145</v>
      </c>
      <c r="C51" t="s">
        <v>18</v>
      </c>
      <c r="D51" t="s">
        <v>158</v>
      </c>
      <c r="E51" t="s">
        <v>655</v>
      </c>
      <c r="G51" t="s">
        <v>1107</v>
      </c>
      <c r="I51" t="s">
        <v>1099</v>
      </c>
      <c r="J51" t="s">
        <v>420</v>
      </c>
      <c r="K51" t="s">
        <v>6</v>
      </c>
      <c r="L51" t="s">
        <v>409</v>
      </c>
      <c r="M51" t="s">
        <v>141</v>
      </c>
      <c r="N51" t="s">
        <v>7</v>
      </c>
      <c r="O51" t="s">
        <v>145</v>
      </c>
      <c r="P51" t="s">
        <v>21</v>
      </c>
      <c r="Q51" t="s">
        <v>164</v>
      </c>
    </row>
    <row r="52" spans="1:19">
      <c r="A52" t="s">
        <v>7</v>
      </c>
      <c r="B52" t="s">
        <v>145</v>
      </c>
      <c r="C52" t="s">
        <v>18</v>
      </c>
      <c r="D52" t="s">
        <v>158</v>
      </c>
      <c r="E52" t="s">
        <v>643</v>
      </c>
      <c r="G52" t="s">
        <v>1107</v>
      </c>
      <c r="I52" t="s">
        <v>1099</v>
      </c>
      <c r="J52" t="s">
        <v>420</v>
      </c>
      <c r="K52" t="s">
        <v>6</v>
      </c>
      <c r="L52" t="s">
        <v>409</v>
      </c>
      <c r="M52" t="s">
        <v>141</v>
      </c>
      <c r="N52" t="s">
        <v>7</v>
      </c>
      <c r="O52" t="s">
        <v>145</v>
      </c>
      <c r="P52" t="s">
        <v>135</v>
      </c>
      <c r="Q52" t="s">
        <v>166</v>
      </c>
    </row>
    <row r="53" spans="1:19">
      <c r="A53" t="s">
        <v>7</v>
      </c>
      <c r="B53" t="s">
        <v>145</v>
      </c>
      <c r="C53" t="s">
        <v>18</v>
      </c>
      <c r="D53" t="s">
        <v>158</v>
      </c>
      <c r="E53" t="s">
        <v>644</v>
      </c>
      <c r="G53" t="s">
        <v>1107</v>
      </c>
      <c r="I53" t="s">
        <v>1099</v>
      </c>
      <c r="J53" t="s">
        <v>420</v>
      </c>
      <c r="K53" t="s">
        <v>6</v>
      </c>
      <c r="L53" t="s">
        <v>409</v>
      </c>
      <c r="M53" t="s">
        <v>141</v>
      </c>
      <c r="N53" t="s">
        <v>7</v>
      </c>
      <c r="O53" t="s">
        <v>145</v>
      </c>
      <c r="P53" t="s">
        <v>21</v>
      </c>
      <c r="Q53" t="s">
        <v>164</v>
      </c>
    </row>
    <row r="54" spans="1:19">
      <c r="A54" t="s">
        <v>7</v>
      </c>
      <c r="B54" t="s">
        <v>145</v>
      </c>
      <c r="C54" t="s">
        <v>18</v>
      </c>
      <c r="D54" t="s">
        <v>158</v>
      </c>
      <c r="E54" t="s">
        <v>648</v>
      </c>
      <c r="G54" t="s">
        <v>1107</v>
      </c>
      <c r="I54" t="s">
        <v>1099</v>
      </c>
      <c r="J54" t="s">
        <v>420</v>
      </c>
      <c r="K54" t="s">
        <v>6</v>
      </c>
      <c r="L54" t="s">
        <v>409</v>
      </c>
      <c r="M54" t="s">
        <v>141</v>
      </c>
      <c r="N54" t="s">
        <v>7</v>
      </c>
      <c r="O54" t="s">
        <v>145</v>
      </c>
      <c r="P54" t="s">
        <v>21</v>
      </c>
      <c r="Q54" t="s">
        <v>164</v>
      </c>
    </row>
    <row r="55" spans="1:19">
      <c r="A55" t="s">
        <v>7</v>
      </c>
      <c r="B55" t="s">
        <v>145</v>
      </c>
      <c r="C55" t="s">
        <v>18</v>
      </c>
      <c r="D55" t="s">
        <v>158</v>
      </c>
      <c r="E55" t="s">
        <v>650</v>
      </c>
      <c r="G55" t="s">
        <v>1107</v>
      </c>
      <c r="I55" t="s">
        <v>1099</v>
      </c>
      <c r="J55" t="s">
        <v>420</v>
      </c>
      <c r="K55" t="s">
        <v>6</v>
      </c>
      <c r="L55" t="s">
        <v>409</v>
      </c>
      <c r="M55" t="s">
        <v>141</v>
      </c>
      <c r="N55" t="s">
        <v>7</v>
      </c>
      <c r="O55" t="s">
        <v>145</v>
      </c>
      <c r="P55" t="s">
        <v>135</v>
      </c>
      <c r="Q55" t="s">
        <v>166</v>
      </c>
    </row>
    <row r="56" spans="1:19">
      <c r="A56" t="s">
        <v>7</v>
      </c>
      <c r="B56" t="s">
        <v>145</v>
      </c>
      <c r="C56" t="s">
        <v>18</v>
      </c>
      <c r="D56" t="s">
        <v>158</v>
      </c>
      <c r="E56" t="s">
        <v>642</v>
      </c>
      <c r="G56" t="s">
        <v>1107</v>
      </c>
      <c r="I56" t="s">
        <v>1099</v>
      </c>
      <c r="J56" t="s">
        <v>420</v>
      </c>
      <c r="K56" t="s">
        <v>6</v>
      </c>
      <c r="L56" t="s">
        <v>409</v>
      </c>
      <c r="M56" t="s">
        <v>141</v>
      </c>
      <c r="N56" t="s">
        <v>7</v>
      </c>
      <c r="O56" t="s">
        <v>145</v>
      </c>
      <c r="P56" t="s">
        <v>135</v>
      </c>
      <c r="Q56" t="s">
        <v>166</v>
      </c>
    </row>
    <row r="57" spans="1:19">
      <c r="A57" t="s">
        <v>7</v>
      </c>
      <c r="B57" t="s">
        <v>145</v>
      </c>
      <c r="C57" t="s">
        <v>18</v>
      </c>
      <c r="D57" t="s">
        <v>158</v>
      </c>
      <c r="E57" t="s">
        <v>649</v>
      </c>
      <c r="G57" t="s">
        <v>1107</v>
      </c>
      <c r="I57" t="s">
        <v>1099</v>
      </c>
      <c r="J57" t="s">
        <v>420</v>
      </c>
      <c r="K57" t="s">
        <v>6</v>
      </c>
      <c r="L57" t="s">
        <v>409</v>
      </c>
      <c r="M57" t="s">
        <v>141</v>
      </c>
      <c r="N57" t="s">
        <v>7</v>
      </c>
      <c r="O57" t="s">
        <v>145</v>
      </c>
      <c r="P57" t="s">
        <v>135</v>
      </c>
      <c r="Q57" t="s">
        <v>166</v>
      </c>
    </row>
    <row r="58" spans="1:19">
      <c r="A58" t="s">
        <v>7</v>
      </c>
      <c r="B58" t="s">
        <v>145</v>
      </c>
      <c r="C58" t="s">
        <v>18</v>
      </c>
      <c r="D58" t="s">
        <v>158</v>
      </c>
      <c r="E58" t="s">
        <v>645</v>
      </c>
      <c r="F58" t="s">
        <v>646</v>
      </c>
      <c r="G58" t="s">
        <v>1107</v>
      </c>
      <c r="I58" t="s">
        <v>1099</v>
      </c>
      <c r="J58" t="s">
        <v>420</v>
      </c>
      <c r="K58" t="s">
        <v>6</v>
      </c>
      <c r="L58" t="s">
        <v>409</v>
      </c>
      <c r="M58" t="s">
        <v>141</v>
      </c>
      <c r="N58" t="s">
        <v>7</v>
      </c>
      <c r="O58" t="s">
        <v>145</v>
      </c>
      <c r="P58" t="s">
        <v>21</v>
      </c>
      <c r="Q58" t="s">
        <v>164</v>
      </c>
      <c r="R58">
        <v>14.575668</v>
      </c>
      <c r="S58">
        <v>12.767559</v>
      </c>
    </row>
    <row r="59" spans="1:19">
      <c r="A59" t="s">
        <v>7</v>
      </c>
      <c r="B59" t="s">
        <v>145</v>
      </c>
      <c r="C59" t="s">
        <v>18</v>
      </c>
      <c r="D59" t="s">
        <v>158</v>
      </c>
      <c r="E59" t="s">
        <v>645</v>
      </c>
      <c r="F59" t="s">
        <v>646</v>
      </c>
      <c r="G59" t="s">
        <v>1108</v>
      </c>
      <c r="H59" t="s">
        <v>647</v>
      </c>
      <c r="I59" t="s">
        <v>1078</v>
      </c>
      <c r="J59" t="s">
        <v>420</v>
      </c>
      <c r="K59" t="s">
        <v>6</v>
      </c>
      <c r="L59" t="s">
        <v>409</v>
      </c>
      <c r="M59" t="s">
        <v>141</v>
      </c>
      <c r="N59" t="s">
        <v>7</v>
      </c>
      <c r="O59" t="s">
        <v>145</v>
      </c>
      <c r="P59" t="s">
        <v>18</v>
      </c>
      <c r="Q59" t="s">
        <v>158</v>
      </c>
      <c r="R59">
        <v>14.575668</v>
      </c>
      <c r="S59">
        <v>12.767559</v>
      </c>
    </row>
    <row r="60" spans="1:19">
      <c r="A60" t="s">
        <v>7</v>
      </c>
      <c r="B60" t="s">
        <v>145</v>
      </c>
      <c r="C60" t="s">
        <v>18</v>
      </c>
      <c r="D60" t="s">
        <v>158</v>
      </c>
      <c r="E60" t="s">
        <v>228</v>
      </c>
      <c r="F60" t="s">
        <v>64</v>
      </c>
      <c r="G60" t="s">
        <v>1107</v>
      </c>
      <c r="I60" t="s">
        <v>1099</v>
      </c>
      <c r="J60" t="s">
        <v>420</v>
      </c>
      <c r="K60" t="s">
        <v>6</v>
      </c>
      <c r="L60" t="s">
        <v>409</v>
      </c>
      <c r="M60" t="s">
        <v>141</v>
      </c>
      <c r="N60" t="s">
        <v>7</v>
      </c>
      <c r="O60" t="s">
        <v>145</v>
      </c>
      <c r="P60" t="s">
        <v>21</v>
      </c>
      <c r="Q60" t="s">
        <v>164</v>
      </c>
      <c r="R60">
        <v>14.683332999999999</v>
      </c>
      <c r="S60">
        <v>12.716666999999999</v>
      </c>
    </row>
    <row r="61" spans="1:19">
      <c r="A61" t="s">
        <v>7</v>
      </c>
      <c r="B61" t="s">
        <v>145</v>
      </c>
      <c r="C61" t="s">
        <v>18</v>
      </c>
      <c r="D61" t="s">
        <v>158</v>
      </c>
      <c r="E61" t="s">
        <v>257</v>
      </c>
      <c r="F61" t="s">
        <v>256</v>
      </c>
      <c r="G61" t="s">
        <v>1107</v>
      </c>
      <c r="I61" t="s">
        <v>1099</v>
      </c>
      <c r="J61" t="s">
        <v>420</v>
      </c>
      <c r="K61" t="s">
        <v>6</v>
      </c>
      <c r="L61" t="s">
        <v>409</v>
      </c>
      <c r="M61" t="s">
        <v>141</v>
      </c>
      <c r="N61" t="s">
        <v>7</v>
      </c>
      <c r="O61" t="s">
        <v>145</v>
      </c>
      <c r="P61" t="s">
        <v>8</v>
      </c>
      <c r="Q61" t="s">
        <v>165</v>
      </c>
      <c r="R61">
        <v>14.466267</v>
      </c>
      <c r="S61">
        <v>12.467777</v>
      </c>
    </row>
    <row r="62" spans="1:19">
      <c r="A62" t="s">
        <v>7</v>
      </c>
      <c r="B62" t="s">
        <v>145</v>
      </c>
      <c r="C62" t="s">
        <v>18</v>
      </c>
      <c r="D62" t="s">
        <v>158</v>
      </c>
      <c r="E62" t="s">
        <v>302</v>
      </c>
      <c r="F62" t="s">
        <v>301</v>
      </c>
      <c r="G62" t="s">
        <v>1107</v>
      </c>
      <c r="I62" t="s">
        <v>1099</v>
      </c>
      <c r="J62" t="s">
        <v>420</v>
      </c>
      <c r="K62" t="s">
        <v>6</v>
      </c>
      <c r="L62" t="s">
        <v>409</v>
      </c>
      <c r="M62" t="s">
        <v>141</v>
      </c>
      <c r="N62" t="s">
        <v>7</v>
      </c>
      <c r="O62" t="s">
        <v>145</v>
      </c>
      <c r="P62" t="s">
        <v>21</v>
      </c>
      <c r="Q62" t="s">
        <v>164</v>
      </c>
      <c r="R62">
        <v>14.866536999999999</v>
      </c>
      <c r="S62">
        <v>12.101597999999999</v>
      </c>
    </row>
    <row r="63" spans="1:19">
      <c r="A63" t="s">
        <v>7</v>
      </c>
      <c r="B63" t="s">
        <v>145</v>
      </c>
      <c r="C63" t="s">
        <v>15</v>
      </c>
      <c r="D63" t="s">
        <v>163</v>
      </c>
      <c r="E63" t="s">
        <v>705</v>
      </c>
      <c r="G63" t="s">
        <v>1107</v>
      </c>
      <c r="I63" t="s">
        <v>1078</v>
      </c>
      <c r="J63" t="s">
        <v>420</v>
      </c>
      <c r="K63" t="s">
        <v>6</v>
      </c>
      <c r="L63" t="s">
        <v>409</v>
      </c>
      <c r="M63" t="s">
        <v>141</v>
      </c>
      <c r="N63" t="s">
        <v>7</v>
      </c>
      <c r="O63" t="s">
        <v>145</v>
      </c>
      <c r="P63" t="s">
        <v>15</v>
      </c>
      <c r="Q63" t="s">
        <v>163</v>
      </c>
    </row>
    <row r="64" spans="1:19">
      <c r="A64" t="s">
        <v>7</v>
      </c>
      <c r="B64" t="s">
        <v>145</v>
      </c>
      <c r="C64" t="s">
        <v>15</v>
      </c>
      <c r="D64" t="s">
        <v>163</v>
      </c>
      <c r="E64" t="s">
        <v>708</v>
      </c>
      <c r="G64" t="s">
        <v>1107</v>
      </c>
      <c r="I64" t="s">
        <v>1099</v>
      </c>
      <c r="J64" t="s">
        <v>420</v>
      </c>
      <c r="K64" t="s">
        <v>6</v>
      </c>
      <c r="L64" t="s">
        <v>409</v>
      </c>
      <c r="M64" t="s">
        <v>141</v>
      </c>
      <c r="N64" t="s">
        <v>7</v>
      </c>
      <c r="O64" t="s">
        <v>145</v>
      </c>
      <c r="P64" t="s">
        <v>15</v>
      </c>
      <c r="Q64" t="s">
        <v>163</v>
      </c>
    </row>
    <row r="65" spans="1:19">
      <c r="A65" t="s">
        <v>7</v>
      </c>
      <c r="B65" t="s">
        <v>145</v>
      </c>
      <c r="C65" t="s">
        <v>15</v>
      </c>
      <c r="D65" t="s">
        <v>163</v>
      </c>
      <c r="E65" t="s">
        <v>709</v>
      </c>
      <c r="G65" t="s">
        <v>1107</v>
      </c>
      <c r="I65" t="s">
        <v>1099</v>
      </c>
      <c r="J65" t="s">
        <v>420</v>
      </c>
      <c r="K65" t="s">
        <v>6</v>
      </c>
      <c r="L65" t="s">
        <v>409</v>
      </c>
      <c r="M65" t="s">
        <v>141</v>
      </c>
      <c r="N65" t="s">
        <v>7</v>
      </c>
      <c r="O65" t="s">
        <v>145</v>
      </c>
      <c r="P65" t="s">
        <v>15</v>
      </c>
      <c r="Q65" t="s">
        <v>163</v>
      </c>
    </row>
    <row r="66" spans="1:19">
      <c r="A66" t="s">
        <v>7</v>
      </c>
      <c r="B66" t="s">
        <v>145</v>
      </c>
      <c r="C66" t="s">
        <v>15</v>
      </c>
      <c r="D66" t="s">
        <v>163</v>
      </c>
      <c r="E66" t="s">
        <v>710</v>
      </c>
      <c r="G66" t="s">
        <v>1107</v>
      </c>
      <c r="I66" t="s">
        <v>1099</v>
      </c>
      <c r="J66" t="s">
        <v>420</v>
      </c>
      <c r="K66" t="s">
        <v>6</v>
      </c>
      <c r="L66" t="s">
        <v>409</v>
      </c>
      <c r="M66" t="s">
        <v>141</v>
      </c>
      <c r="N66" t="s">
        <v>7</v>
      </c>
      <c r="O66" t="s">
        <v>145</v>
      </c>
      <c r="P66" t="s">
        <v>15</v>
      </c>
      <c r="Q66" t="s">
        <v>163</v>
      </c>
    </row>
    <row r="67" spans="1:19">
      <c r="A67" t="s">
        <v>7</v>
      </c>
      <c r="B67" t="s">
        <v>145</v>
      </c>
      <c r="C67" t="s">
        <v>15</v>
      </c>
      <c r="D67" t="s">
        <v>163</v>
      </c>
      <c r="E67" t="s">
        <v>713</v>
      </c>
      <c r="G67" t="s">
        <v>1107</v>
      </c>
      <c r="I67" t="s">
        <v>1099</v>
      </c>
      <c r="J67" t="s">
        <v>420</v>
      </c>
      <c r="K67" t="s">
        <v>6</v>
      </c>
      <c r="L67" t="s">
        <v>409</v>
      </c>
      <c r="M67" t="s">
        <v>141</v>
      </c>
      <c r="N67" t="s">
        <v>7</v>
      </c>
      <c r="O67" t="s">
        <v>145</v>
      </c>
      <c r="P67" t="s">
        <v>15</v>
      </c>
      <c r="Q67" t="s">
        <v>163</v>
      </c>
    </row>
    <row r="68" spans="1:19">
      <c r="A68" t="s">
        <v>7</v>
      </c>
      <c r="B68" t="s">
        <v>145</v>
      </c>
      <c r="C68" t="s">
        <v>15</v>
      </c>
      <c r="D68" t="s">
        <v>163</v>
      </c>
      <c r="E68" t="s">
        <v>716</v>
      </c>
      <c r="G68" t="s">
        <v>1107</v>
      </c>
      <c r="I68" t="s">
        <v>1099</v>
      </c>
      <c r="J68" t="s">
        <v>420</v>
      </c>
      <c r="K68" t="s">
        <v>6</v>
      </c>
      <c r="L68" t="s">
        <v>409</v>
      </c>
      <c r="M68" t="s">
        <v>141</v>
      </c>
      <c r="N68" t="s">
        <v>7</v>
      </c>
      <c r="O68" t="s">
        <v>145</v>
      </c>
      <c r="P68" t="s">
        <v>15</v>
      </c>
      <c r="Q68" t="s">
        <v>163</v>
      </c>
    </row>
    <row r="69" spans="1:19">
      <c r="A69" t="s">
        <v>7</v>
      </c>
      <c r="B69" t="s">
        <v>145</v>
      </c>
      <c r="C69" t="s">
        <v>15</v>
      </c>
      <c r="D69" t="s">
        <v>163</v>
      </c>
      <c r="E69" t="s">
        <v>717</v>
      </c>
      <c r="G69" t="s">
        <v>1107</v>
      </c>
      <c r="I69" t="s">
        <v>1099</v>
      </c>
      <c r="J69" t="s">
        <v>420</v>
      </c>
      <c r="K69" t="s">
        <v>6</v>
      </c>
      <c r="L69" t="s">
        <v>409</v>
      </c>
      <c r="M69" t="s">
        <v>141</v>
      </c>
      <c r="N69" t="s">
        <v>7</v>
      </c>
      <c r="O69" t="s">
        <v>145</v>
      </c>
      <c r="P69" t="s">
        <v>15</v>
      </c>
      <c r="Q69" t="s">
        <v>163</v>
      </c>
    </row>
    <row r="70" spans="1:19">
      <c r="A70" t="s">
        <v>7</v>
      </c>
      <c r="B70" t="s">
        <v>145</v>
      </c>
      <c r="C70" t="s">
        <v>15</v>
      </c>
      <c r="D70" t="s">
        <v>163</v>
      </c>
      <c r="E70" t="s">
        <v>723</v>
      </c>
      <c r="G70" t="s">
        <v>1107</v>
      </c>
      <c r="I70" t="s">
        <v>1099</v>
      </c>
      <c r="J70" t="s">
        <v>420</v>
      </c>
      <c r="K70" t="s">
        <v>6</v>
      </c>
      <c r="L70" t="s">
        <v>409</v>
      </c>
      <c r="M70" t="s">
        <v>141</v>
      </c>
      <c r="N70" t="s">
        <v>7</v>
      </c>
      <c r="O70" t="s">
        <v>145</v>
      </c>
      <c r="P70" t="s">
        <v>15</v>
      </c>
      <c r="Q70" t="s">
        <v>163</v>
      </c>
    </row>
    <row r="71" spans="1:19">
      <c r="A71" t="s">
        <v>7</v>
      </c>
      <c r="B71" t="s">
        <v>145</v>
      </c>
      <c r="C71" t="s">
        <v>15</v>
      </c>
      <c r="D71" t="s">
        <v>163</v>
      </c>
      <c r="E71" t="s">
        <v>226</v>
      </c>
      <c r="F71" t="s">
        <v>225</v>
      </c>
      <c r="G71" t="s">
        <v>1107</v>
      </c>
      <c r="I71" t="s">
        <v>1099</v>
      </c>
      <c r="J71" t="s">
        <v>420</v>
      </c>
      <c r="K71" t="s">
        <v>6</v>
      </c>
      <c r="L71" t="s">
        <v>409</v>
      </c>
      <c r="M71" t="s">
        <v>141</v>
      </c>
      <c r="N71" t="s">
        <v>7</v>
      </c>
      <c r="O71" t="s">
        <v>145</v>
      </c>
      <c r="P71" t="s">
        <v>15</v>
      </c>
      <c r="Q71" t="s">
        <v>163</v>
      </c>
      <c r="R71">
        <v>14.372123999999999</v>
      </c>
      <c r="S71">
        <v>12.718621000000001</v>
      </c>
    </row>
    <row r="72" spans="1:19">
      <c r="A72" t="s">
        <v>7</v>
      </c>
      <c r="B72" t="s">
        <v>145</v>
      </c>
      <c r="C72" t="s">
        <v>15</v>
      </c>
      <c r="D72" t="s">
        <v>163</v>
      </c>
      <c r="E72" t="s">
        <v>706</v>
      </c>
      <c r="F72" t="s">
        <v>707</v>
      </c>
      <c r="G72" t="s">
        <v>1107</v>
      </c>
      <c r="I72" t="s">
        <v>1099</v>
      </c>
      <c r="J72" t="s">
        <v>420</v>
      </c>
      <c r="K72" t="s">
        <v>6</v>
      </c>
      <c r="L72" t="s">
        <v>409</v>
      </c>
      <c r="M72" t="s">
        <v>141</v>
      </c>
      <c r="N72" t="s">
        <v>7</v>
      </c>
      <c r="O72" t="s">
        <v>145</v>
      </c>
      <c r="P72" t="s">
        <v>15</v>
      </c>
      <c r="Q72" t="s">
        <v>163</v>
      </c>
      <c r="R72">
        <v>15.001606000000001</v>
      </c>
      <c r="S72">
        <v>11.447025999999999</v>
      </c>
    </row>
    <row r="73" spans="1:19">
      <c r="A73" t="s">
        <v>7</v>
      </c>
      <c r="B73" t="s">
        <v>145</v>
      </c>
      <c r="C73" t="s">
        <v>15</v>
      </c>
      <c r="D73" t="s">
        <v>163</v>
      </c>
      <c r="E73" t="s">
        <v>711</v>
      </c>
      <c r="F73" t="s">
        <v>712</v>
      </c>
      <c r="G73" t="s">
        <v>1107</v>
      </c>
      <c r="I73" t="s">
        <v>1078</v>
      </c>
      <c r="J73" t="s">
        <v>420</v>
      </c>
      <c r="K73" t="s">
        <v>6</v>
      </c>
      <c r="L73" t="s">
        <v>409</v>
      </c>
      <c r="M73" t="s">
        <v>141</v>
      </c>
      <c r="N73" t="s">
        <v>7</v>
      </c>
      <c r="O73" t="s">
        <v>145</v>
      </c>
      <c r="P73" t="s">
        <v>15</v>
      </c>
      <c r="Q73" t="s">
        <v>163</v>
      </c>
      <c r="R73">
        <v>14.345787</v>
      </c>
      <c r="S73">
        <v>12.791289000000001</v>
      </c>
    </row>
    <row r="74" spans="1:19">
      <c r="A74" t="s">
        <v>7</v>
      </c>
      <c r="B74" t="s">
        <v>145</v>
      </c>
      <c r="C74" t="s">
        <v>15</v>
      </c>
      <c r="D74" t="s">
        <v>163</v>
      </c>
      <c r="E74" t="s">
        <v>245</v>
      </c>
      <c r="F74" t="s">
        <v>244</v>
      </c>
      <c r="G74" t="s">
        <v>1107</v>
      </c>
      <c r="I74" t="s">
        <v>1099</v>
      </c>
      <c r="J74" t="s">
        <v>420</v>
      </c>
      <c r="K74" t="s">
        <v>6</v>
      </c>
      <c r="L74" t="s">
        <v>409</v>
      </c>
      <c r="M74" t="s">
        <v>141</v>
      </c>
      <c r="N74" t="s">
        <v>7</v>
      </c>
      <c r="O74" t="s">
        <v>145</v>
      </c>
      <c r="P74" t="s">
        <v>15</v>
      </c>
      <c r="Q74" t="s">
        <v>163</v>
      </c>
      <c r="R74">
        <v>14.474288</v>
      </c>
      <c r="S74">
        <v>12.631474000000001</v>
      </c>
    </row>
    <row r="75" spans="1:19">
      <c r="A75" t="s">
        <v>7</v>
      </c>
      <c r="B75" t="s">
        <v>145</v>
      </c>
      <c r="C75" t="s">
        <v>15</v>
      </c>
      <c r="D75" t="s">
        <v>163</v>
      </c>
      <c r="E75" t="s">
        <v>714</v>
      </c>
      <c r="F75" t="s">
        <v>715</v>
      </c>
      <c r="G75" t="s">
        <v>1107</v>
      </c>
      <c r="I75" t="s">
        <v>1078</v>
      </c>
      <c r="J75" t="s">
        <v>420</v>
      </c>
      <c r="K75" t="s">
        <v>6</v>
      </c>
      <c r="L75" t="s">
        <v>409</v>
      </c>
      <c r="M75" t="s">
        <v>141</v>
      </c>
      <c r="N75" t="s">
        <v>7</v>
      </c>
      <c r="O75" t="s">
        <v>145</v>
      </c>
      <c r="P75" t="s">
        <v>15</v>
      </c>
      <c r="Q75" t="s">
        <v>163</v>
      </c>
      <c r="R75">
        <v>14.822063</v>
      </c>
      <c r="S75">
        <v>12.430731</v>
      </c>
    </row>
    <row r="76" spans="1:19">
      <c r="A76" t="s">
        <v>7</v>
      </c>
      <c r="B76" t="s">
        <v>145</v>
      </c>
      <c r="C76" t="s">
        <v>15</v>
      </c>
      <c r="D76" t="s">
        <v>163</v>
      </c>
      <c r="E76" t="s">
        <v>718</v>
      </c>
      <c r="F76" t="s">
        <v>719</v>
      </c>
      <c r="G76" t="s">
        <v>1107</v>
      </c>
      <c r="I76" t="s">
        <v>1099</v>
      </c>
      <c r="J76" t="s">
        <v>420</v>
      </c>
      <c r="K76" t="s">
        <v>6</v>
      </c>
      <c r="L76" t="s">
        <v>409</v>
      </c>
      <c r="M76" t="s">
        <v>141</v>
      </c>
      <c r="N76" t="s">
        <v>7</v>
      </c>
      <c r="O76" t="s">
        <v>145</v>
      </c>
      <c r="P76" t="s">
        <v>15</v>
      </c>
      <c r="Q76" t="s">
        <v>163</v>
      </c>
      <c r="R76">
        <v>15.009872</v>
      </c>
      <c r="S76">
        <v>11.844322</v>
      </c>
    </row>
    <row r="77" spans="1:19">
      <c r="A77" t="s">
        <v>7</v>
      </c>
      <c r="B77" t="s">
        <v>145</v>
      </c>
      <c r="C77" t="s">
        <v>15</v>
      </c>
      <c r="D77" t="s">
        <v>163</v>
      </c>
      <c r="E77" t="s">
        <v>253</v>
      </c>
      <c r="F77" t="s">
        <v>720</v>
      </c>
      <c r="G77" t="s">
        <v>1107</v>
      </c>
      <c r="I77" t="s">
        <v>1078</v>
      </c>
      <c r="J77" t="s">
        <v>420</v>
      </c>
      <c r="K77" t="s">
        <v>6</v>
      </c>
      <c r="L77" t="s">
        <v>409</v>
      </c>
      <c r="M77" t="s">
        <v>141</v>
      </c>
      <c r="N77" t="s">
        <v>7</v>
      </c>
      <c r="O77" t="s">
        <v>145</v>
      </c>
      <c r="P77" t="s">
        <v>15</v>
      </c>
      <c r="Q77" t="s">
        <v>163</v>
      </c>
      <c r="R77">
        <v>14.839247</v>
      </c>
      <c r="S77">
        <v>12.107813</v>
      </c>
    </row>
    <row r="78" spans="1:19">
      <c r="A78" t="s">
        <v>7</v>
      </c>
      <c r="B78" t="s">
        <v>145</v>
      </c>
      <c r="C78" t="s">
        <v>15</v>
      </c>
      <c r="D78" t="s">
        <v>163</v>
      </c>
      <c r="E78" t="s">
        <v>261</v>
      </c>
      <c r="F78" t="s">
        <v>260</v>
      </c>
      <c r="G78" t="s">
        <v>1107</v>
      </c>
      <c r="I78" t="s">
        <v>1078</v>
      </c>
      <c r="J78" t="s">
        <v>420</v>
      </c>
      <c r="K78" t="s">
        <v>6</v>
      </c>
      <c r="L78" t="s">
        <v>409</v>
      </c>
      <c r="M78" t="s">
        <v>141</v>
      </c>
      <c r="N78" t="s">
        <v>7</v>
      </c>
      <c r="O78" t="s">
        <v>145</v>
      </c>
      <c r="P78" t="s">
        <v>15</v>
      </c>
      <c r="Q78" t="s">
        <v>163</v>
      </c>
      <c r="R78">
        <v>14.407843</v>
      </c>
      <c r="S78">
        <v>12.704446000000001</v>
      </c>
    </row>
    <row r="79" spans="1:19">
      <c r="A79" t="s">
        <v>7</v>
      </c>
      <c r="B79" t="s">
        <v>145</v>
      </c>
      <c r="C79" t="s">
        <v>15</v>
      </c>
      <c r="D79" t="s">
        <v>163</v>
      </c>
      <c r="E79" t="s">
        <v>721</v>
      </c>
      <c r="F79" t="s">
        <v>270</v>
      </c>
      <c r="G79" t="s">
        <v>1107</v>
      </c>
      <c r="I79" t="s">
        <v>1099</v>
      </c>
      <c r="J79" t="s">
        <v>420</v>
      </c>
      <c r="K79" t="s">
        <v>6</v>
      </c>
      <c r="L79" t="s">
        <v>409</v>
      </c>
      <c r="M79" t="s">
        <v>141</v>
      </c>
      <c r="N79" t="s">
        <v>7</v>
      </c>
      <c r="O79" t="s">
        <v>145</v>
      </c>
      <c r="P79" t="s">
        <v>15</v>
      </c>
      <c r="Q79" t="s">
        <v>163</v>
      </c>
      <c r="R79">
        <v>14.431153999999999</v>
      </c>
      <c r="S79">
        <v>12.663677</v>
      </c>
    </row>
    <row r="80" spans="1:19">
      <c r="A80" t="s">
        <v>7</v>
      </c>
      <c r="B80" t="s">
        <v>145</v>
      </c>
      <c r="C80" t="s">
        <v>15</v>
      </c>
      <c r="D80" t="s">
        <v>163</v>
      </c>
      <c r="E80" t="s">
        <v>722</v>
      </c>
      <c r="F80" t="s">
        <v>271</v>
      </c>
      <c r="G80" t="s">
        <v>1107</v>
      </c>
      <c r="I80" t="s">
        <v>1099</v>
      </c>
      <c r="J80" t="s">
        <v>420</v>
      </c>
      <c r="K80" t="s">
        <v>6</v>
      </c>
      <c r="L80" t="s">
        <v>409</v>
      </c>
      <c r="M80" t="s">
        <v>141</v>
      </c>
      <c r="N80" t="s">
        <v>7</v>
      </c>
      <c r="O80" t="s">
        <v>145</v>
      </c>
      <c r="P80" t="s">
        <v>15</v>
      </c>
      <c r="Q80" t="s">
        <v>163</v>
      </c>
      <c r="R80">
        <v>14.467532</v>
      </c>
      <c r="S80">
        <v>12.655200000000001</v>
      </c>
    </row>
    <row r="81" spans="1:19">
      <c r="A81" t="s">
        <v>7</v>
      </c>
      <c r="B81" t="s">
        <v>145</v>
      </c>
      <c r="C81" t="s">
        <v>15</v>
      </c>
      <c r="D81" t="s">
        <v>163</v>
      </c>
      <c r="E81" t="s">
        <v>275</v>
      </c>
      <c r="F81" t="s">
        <v>274</v>
      </c>
      <c r="G81" t="s">
        <v>1107</v>
      </c>
      <c r="I81" t="s">
        <v>1099</v>
      </c>
      <c r="J81" t="s">
        <v>420</v>
      </c>
      <c r="K81" t="s">
        <v>6</v>
      </c>
      <c r="L81" t="s">
        <v>409</v>
      </c>
      <c r="M81" t="s">
        <v>141</v>
      </c>
      <c r="N81" t="s">
        <v>7</v>
      </c>
      <c r="O81" t="s">
        <v>145</v>
      </c>
      <c r="P81" t="s">
        <v>15</v>
      </c>
      <c r="Q81" t="s">
        <v>163</v>
      </c>
      <c r="R81">
        <v>14.189062</v>
      </c>
      <c r="S81">
        <v>12.477774</v>
      </c>
    </row>
    <row r="82" spans="1:19">
      <c r="A82" t="s">
        <v>7</v>
      </c>
      <c r="B82" t="s">
        <v>145</v>
      </c>
      <c r="C82" t="s">
        <v>15</v>
      </c>
      <c r="D82" t="s">
        <v>163</v>
      </c>
      <c r="E82" t="s">
        <v>289</v>
      </c>
      <c r="F82" t="s">
        <v>679</v>
      </c>
      <c r="G82" t="s">
        <v>1107</v>
      </c>
      <c r="I82" t="s">
        <v>1078</v>
      </c>
      <c r="J82" t="s">
        <v>420</v>
      </c>
      <c r="K82" t="s">
        <v>6</v>
      </c>
      <c r="L82" t="s">
        <v>409</v>
      </c>
      <c r="M82" t="s">
        <v>141</v>
      </c>
      <c r="N82" t="s">
        <v>7</v>
      </c>
      <c r="O82" t="s">
        <v>145</v>
      </c>
      <c r="P82" t="s">
        <v>15</v>
      </c>
      <c r="Q82" t="s">
        <v>163</v>
      </c>
      <c r="R82">
        <v>14.575552999999999</v>
      </c>
      <c r="S82">
        <v>12.478358</v>
      </c>
    </row>
    <row r="83" spans="1:19">
      <c r="A83" t="s">
        <v>7</v>
      </c>
      <c r="B83" t="s">
        <v>145</v>
      </c>
      <c r="C83" t="s">
        <v>15</v>
      </c>
      <c r="D83" t="s">
        <v>163</v>
      </c>
      <c r="E83" t="s">
        <v>295</v>
      </c>
      <c r="F83" t="s">
        <v>296</v>
      </c>
      <c r="G83" t="s">
        <v>1107</v>
      </c>
      <c r="I83" t="s">
        <v>1099</v>
      </c>
      <c r="J83" t="s">
        <v>420</v>
      </c>
      <c r="K83" t="s">
        <v>6</v>
      </c>
      <c r="L83" t="s">
        <v>409</v>
      </c>
      <c r="M83" t="s">
        <v>141</v>
      </c>
      <c r="N83" t="s">
        <v>7</v>
      </c>
      <c r="O83" t="s">
        <v>145</v>
      </c>
      <c r="P83" t="s">
        <v>15</v>
      </c>
      <c r="Q83" t="s">
        <v>163</v>
      </c>
      <c r="R83">
        <v>14.745934</v>
      </c>
      <c r="S83">
        <v>12.428034</v>
      </c>
    </row>
    <row r="84" spans="1:19">
      <c r="A84" t="s">
        <v>7</v>
      </c>
      <c r="B84" t="s">
        <v>145</v>
      </c>
      <c r="C84" t="s">
        <v>15</v>
      </c>
      <c r="D84" t="s">
        <v>163</v>
      </c>
      <c r="E84" t="s">
        <v>724</v>
      </c>
      <c r="F84" t="s">
        <v>725</v>
      </c>
      <c r="G84" t="s">
        <v>1107</v>
      </c>
      <c r="I84" t="s">
        <v>1099</v>
      </c>
      <c r="J84" t="s">
        <v>420</v>
      </c>
      <c r="K84" t="s">
        <v>6</v>
      </c>
      <c r="L84" t="s">
        <v>409</v>
      </c>
      <c r="M84" t="s">
        <v>141</v>
      </c>
      <c r="N84" t="s">
        <v>7</v>
      </c>
      <c r="O84" t="s">
        <v>145</v>
      </c>
      <c r="P84" t="s">
        <v>15</v>
      </c>
      <c r="Q84" t="s">
        <v>163</v>
      </c>
      <c r="R84">
        <v>14.982844</v>
      </c>
      <c r="S84">
        <v>12.075265</v>
      </c>
    </row>
    <row r="85" spans="1:19">
      <c r="A85" t="s">
        <v>7</v>
      </c>
      <c r="B85" t="s">
        <v>145</v>
      </c>
      <c r="C85" t="s">
        <v>21</v>
      </c>
      <c r="D85" t="s">
        <v>164</v>
      </c>
      <c r="E85" t="s">
        <v>751</v>
      </c>
      <c r="F85" t="s">
        <v>752</v>
      </c>
      <c r="G85" t="s">
        <v>1107</v>
      </c>
      <c r="I85" t="s">
        <v>1099</v>
      </c>
      <c r="J85" t="s">
        <v>420</v>
      </c>
      <c r="K85" t="s">
        <v>6</v>
      </c>
      <c r="L85" t="s">
        <v>409</v>
      </c>
      <c r="M85" t="s">
        <v>141</v>
      </c>
      <c r="N85" t="s">
        <v>7</v>
      </c>
      <c r="O85" t="s">
        <v>145</v>
      </c>
      <c r="P85" t="s">
        <v>21</v>
      </c>
      <c r="Q85" t="s">
        <v>164</v>
      </c>
      <c r="R85">
        <v>14.75</v>
      </c>
      <c r="S85">
        <v>12.533333000000001</v>
      </c>
    </row>
    <row r="86" spans="1:19">
      <c r="A86" t="s">
        <v>7</v>
      </c>
      <c r="B86" t="s">
        <v>145</v>
      </c>
      <c r="C86" t="s">
        <v>21</v>
      </c>
      <c r="D86" t="s">
        <v>164</v>
      </c>
      <c r="E86" t="s">
        <v>221</v>
      </c>
      <c r="F86" t="s">
        <v>68</v>
      </c>
      <c r="G86" t="s">
        <v>1107</v>
      </c>
      <c r="I86" t="s">
        <v>1099</v>
      </c>
      <c r="J86" t="s">
        <v>420</v>
      </c>
      <c r="K86" t="s">
        <v>6</v>
      </c>
      <c r="L86" t="s">
        <v>409</v>
      </c>
      <c r="M86" t="s">
        <v>141</v>
      </c>
      <c r="N86" t="s">
        <v>7</v>
      </c>
      <c r="O86" t="s">
        <v>145</v>
      </c>
      <c r="P86" t="s">
        <v>21</v>
      </c>
      <c r="Q86" t="s">
        <v>164</v>
      </c>
      <c r="R86">
        <v>15.050891999999999</v>
      </c>
      <c r="S86">
        <v>12.050858</v>
      </c>
    </row>
    <row r="87" spans="1:19">
      <c r="A87" t="s">
        <v>7</v>
      </c>
      <c r="B87" t="s">
        <v>145</v>
      </c>
      <c r="C87" t="s">
        <v>21</v>
      </c>
      <c r="D87" t="s">
        <v>164</v>
      </c>
      <c r="E87" t="s">
        <v>756</v>
      </c>
      <c r="G87" t="s">
        <v>1107</v>
      </c>
      <c r="I87" t="s">
        <v>1099</v>
      </c>
      <c r="J87" t="s">
        <v>420</v>
      </c>
      <c r="K87" t="s">
        <v>6</v>
      </c>
      <c r="L87" t="s">
        <v>409</v>
      </c>
      <c r="M87" t="s">
        <v>141</v>
      </c>
      <c r="N87" t="s">
        <v>7</v>
      </c>
      <c r="O87" t="s">
        <v>145</v>
      </c>
      <c r="P87" t="s">
        <v>21</v>
      </c>
      <c r="Q87" t="s">
        <v>164</v>
      </c>
    </row>
    <row r="88" spans="1:19">
      <c r="A88" t="s">
        <v>7</v>
      </c>
      <c r="B88" t="s">
        <v>145</v>
      </c>
      <c r="C88" t="s">
        <v>21</v>
      </c>
      <c r="D88" t="s">
        <v>164</v>
      </c>
      <c r="E88" t="s">
        <v>757</v>
      </c>
      <c r="G88" t="s">
        <v>1107</v>
      </c>
      <c r="I88" t="s">
        <v>1099</v>
      </c>
      <c r="J88" t="s">
        <v>420</v>
      </c>
      <c r="K88" t="s">
        <v>6</v>
      </c>
      <c r="L88" t="s">
        <v>409</v>
      </c>
      <c r="M88" t="s">
        <v>141</v>
      </c>
      <c r="N88" t="s">
        <v>7</v>
      </c>
      <c r="O88" t="s">
        <v>145</v>
      </c>
      <c r="P88" t="s">
        <v>21</v>
      </c>
      <c r="Q88" t="s">
        <v>164</v>
      </c>
    </row>
    <row r="89" spans="1:19">
      <c r="A89" t="s">
        <v>7</v>
      </c>
      <c r="B89" t="s">
        <v>145</v>
      </c>
      <c r="C89" t="s">
        <v>21</v>
      </c>
      <c r="D89" t="s">
        <v>164</v>
      </c>
      <c r="E89" t="s">
        <v>728</v>
      </c>
      <c r="G89" t="s">
        <v>1107</v>
      </c>
      <c r="I89" t="s">
        <v>1099</v>
      </c>
      <c r="J89" t="s">
        <v>420</v>
      </c>
      <c r="K89" t="s">
        <v>6</v>
      </c>
      <c r="L89" t="s">
        <v>409</v>
      </c>
      <c r="M89" t="s">
        <v>141</v>
      </c>
      <c r="N89" t="s">
        <v>7</v>
      </c>
      <c r="O89" t="s">
        <v>145</v>
      </c>
      <c r="P89" t="s">
        <v>21</v>
      </c>
      <c r="Q89" t="s">
        <v>164</v>
      </c>
    </row>
    <row r="90" spans="1:19">
      <c r="A90" t="s">
        <v>7</v>
      </c>
      <c r="B90" t="s">
        <v>145</v>
      </c>
      <c r="C90" t="s">
        <v>21</v>
      </c>
      <c r="D90" t="s">
        <v>164</v>
      </c>
      <c r="E90" t="s">
        <v>760</v>
      </c>
      <c r="G90" t="s">
        <v>1107</v>
      </c>
      <c r="I90" t="s">
        <v>1099</v>
      </c>
      <c r="J90" t="s">
        <v>420</v>
      </c>
      <c r="K90" t="s">
        <v>6</v>
      </c>
      <c r="L90" t="s">
        <v>409</v>
      </c>
      <c r="M90" t="s">
        <v>141</v>
      </c>
      <c r="N90" t="s">
        <v>7</v>
      </c>
      <c r="O90" t="s">
        <v>145</v>
      </c>
      <c r="P90" t="s">
        <v>21</v>
      </c>
      <c r="Q90" t="s">
        <v>164</v>
      </c>
    </row>
    <row r="91" spans="1:19">
      <c r="A91" t="s">
        <v>7</v>
      </c>
      <c r="B91" t="s">
        <v>145</v>
      </c>
      <c r="C91" t="s">
        <v>21</v>
      </c>
      <c r="D91" t="s">
        <v>164</v>
      </c>
      <c r="E91" t="s">
        <v>753</v>
      </c>
      <c r="G91" t="s">
        <v>1107</v>
      </c>
      <c r="I91" t="s">
        <v>1099</v>
      </c>
      <c r="J91" t="s">
        <v>420</v>
      </c>
      <c r="K91" t="s">
        <v>6</v>
      </c>
      <c r="L91" t="s">
        <v>409</v>
      </c>
      <c r="M91" t="s">
        <v>141</v>
      </c>
      <c r="N91" t="s">
        <v>7</v>
      </c>
      <c r="O91" t="s">
        <v>145</v>
      </c>
      <c r="P91" t="s">
        <v>21</v>
      </c>
      <c r="Q91" t="s">
        <v>164</v>
      </c>
    </row>
    <row r="92" spans="1:19">
      <c r="A92" t="s">
        <v>7</v>
      </c>
      <c r="B92" t="s">
        <v>145</v>
      </c>
      <c r="C92" t="s">
        <v>21</v>
      </c>
      <c r="D92" t="s">
        <v>164</v>
      </c>
      <c r="E92" t="s">
        <v>733</v>
      </c>
      <c r="G92" t="s">
        <v>1107</v>
      </c>
      <c r="I92" t="s">
        <v>1099</v>
      </c>
      <c r="J92" t="s">
        <v>420</v>
      </c>
      <c r="K92" t="s">
        <v>6</v>
      </c>
      <c r="L92" t="s">
        <v>409</v>
      </c>
      <c r="M92" t="s">
        <v>141</v>
      </c>
      <c r="N92" t="s">
        <v>7</v>
      </c>
      <c r="O92" t="s">
        <v>145</v>
      </c>
      <c r="P92" t="s">
        <v>21</v>
      </c>
      <c r="Q92" t="s">
        <v>164</v>
      </c>
    </row>
    <row r="93" spans="1:19">
      <c r="A93" t="s">
        <v>7</v>
      </c>
      <c r="B93" t="s">
        <v>145</v>
      </c>
      <c r="C93" t="s">
        <v>21</v>
      </c>
      <c r="D93" t="s">
        <v>164</v>
      </c>
      <c r="E93" t="s">
        <v>193</v>
      </c>
      <c r="G93" t="s">
        <v>1107</v>
      </c>
      <c r="I93" t="s">
        <v>1099</v>
      </c>
      <c r="J93" t="s">
        <v>420</v>
      </c>
      <c r="K93" t="s">
        <v>6</v>
      </c>
      <c r="L93" t="s">
        <v>409</v>
      </c>
      <c r="M93" t="s">
        <v>141</v>
      </c>
      <c r="N93" t="s">
        <v>7</v>
      </c>
      <c r="O93" t="s">
        <v>145</v>
      </c>
      <c r="P93" t="s">
        <v>21</v>
      </c>
      <c r="Q93" t="s">
        <v>164</v>
      </c>
    </row>
    <row r="94" spans="1:19">
      <c r="A94" t="s">
        <v>7</v>
      </c>
      <c r="B94" t="s">
        <v>145</v>
      </c>
      <c r="C94" t="s">
        <v>21</v>
      </c>
      <c r="D94" t="s">
        <v>164</v>
      </c>
      <c r="E94" t="s">
        <v>748</v>
      </c>
      <c r="F94" t="s">
        <v>749</v>
      </c>
      <c r="G94" t="s">
        <v>1107</v>
      </c>
      <c r="I94" t="s">
        <v>1099</v>
      </c>
      <c r="J94" t="s">
        <v>420</v>
      </c>
      <c r="K94" t="s">
        <v>6</v>
      </c>
      <c r="L94" t="s">
        <v>409</v>
      </c>
      <c r="M94" t="s">
        <v>141</v>
      </c>
      <c r="N94" t="s">
        <v>7</v>
      </c>
      <c r="O94" t="s">
        <v>145</v>
      </c>
      <c r="P94" t="s">
        <v>21</v>
      </c>
      <c r="Q94" t="s">
        <v>164</v>
      </c>
      <c r="R94">
        <v>14.352209</v>
      </c>
      <c r="S94">
        <v>12.402089999999999</v>
      </c>
    </row>
    <row r="95" spans="1:19">
      <c r="A95" t="s">
        <v>7</v>
      </c>
      <c r="B95" t="s">
        <v>145</v>
      </c>
      <c r="C95" t="s">
        <v>21</v>
      </c>
      <c r="D95" t="s">
        <v>164</v>
      </c>
      <c r="E95" t="s">
        <v>736</v>
      </c>
      <c r="F95" t="s">
        <v>737</v>
      </c>
      <c r="G95" t="s">
        <v>1107</v>
      </c>
      <c r="I95" t="s">
        <v>1099</v>
      </c>
      <c r="J95" t="s">
        <v>420</v>
      </c>
      <c r="K95" t="s">
        <v>6</v>
      </c>
      <c r="L95" t="s">
        <v>409</v>
      </c>
      <c r="M95" t="s">
        <v>141</v>
      </c>
      <c r="N95" t="s">
        <v>7</v>
      </c>
      <c r="O95" t="s">
        <v>145</v>
      </c>
      <c r="P95" t="s">
        <v>21</v>
      </c>
      <c r="Q95" t="s">
        <v>164</v>
      </c>
      <c r="R95">
        <v>14.290509999999999</v>
      </c>
      <c r="S95">
        <v>12.399065999999999</v>
      </c>
    </row>
    <row r="96" spans="1:19">
      <c r="A96" t="s">
        <v>7</v>
      </c>
      <c r="B96" t="s">
        <v>145</v>
      </c>
      <c r="C96" t="s">
        <v>21</v>
      </c>
      <c r="D96" t="s">
        <v>164</v>
      </c>
      <c r="E96" t="s">
        <v>746</v>
      </c>
      <c r="F96" t="s">
        <v>747</v>
      </c>
      <c r="G96" t="s">
        <v>1107</v>
      </c>
      <c r="I96" t="s">
        <v>1099</v>
      </c>
      <c r="J96" t="s">
        <v>420</v>
      </c>
      <c r="K96" t="s">
        <v>6</v>
      </c>
      <c r="L96" t="s">
        <v>409</v>
      </c>
      <c r="M96" t="s">
        <v>141</v>
      </c>
      <c r="N96" t="s">
        <v>7</v>
      </c>
      <c r="O96" t="s">
        <v>145</v>
      </c>
      <c r="P96" t="s">
        <v>21</v>
      </c>
      <c r="Q96" t="s">
        <v>164</v>
      </c>
      <c r="R96">
        <v>14.347153</v>
      </c>
      <c r="S96">
        <v>12.484239000000001</v>
      </c>
    </row>
    <row r="97" spans="1:19">
      <c r="A97" t="s">
        <v>7</v>
      </c>
      <c r="B97" t="s">
        <v>145</v>
      </c>
      <c r="C97" t="s">
        <v>21</v>
      </c>
      <c r="D97" t="s">
        <v>164</v>
      </c>
      <c r="E97" t="s">
        <v>223</v>
      </c>
      <c r="F97" t="s">
        <v>72</v>
      </c>
      <c r="G97" t="s">
        <v>1107</v>
      </c>
      <c r="I97" t="s">
        <v>1099</v>
      </c>
      <c r="J97" t="s">
        <v>420</v>
      </c>
      <c r="K97" t="s">
        <v>6</v>
      </c>
      <c r="L97" t="s">
        <v>409</v>
      </c>
      <c r="M97" t="s">
        <v>141</v>
      </c>
      <c r="N97" t="s">
        <v>7</v>
      </c>
      <c r="O97" t="s">
        <v>145</v>
      </c>
      <c r="P97" t="s">
        <v>21</v>
      </c>
      <c r="Q97" t="s">
        <v>164</v>
      </c>
      <c r="R97">
        <v>14.310082</v>
      </c>
      <c r="S97">
        <v>12.402138000000001</v>
      </c>
    </row>
    <row r="98" spans="1:19">
      <c r="A98" t="s">
        <v>7</v>
      </c>
      <c r="B98" t="s">
        <v>145</v>
      </c>
      <c r="C98" t="s">
        <v>21</v>
      </c>
      <c r="D98" t="s">
        <v>164</v>
      </c>
      <c r="E98" t="s">
        <v>744</v>
      </c>
      <c r="F98" t="s">
        <v>745</v>
      </c>
      <c r="G98" t="s">
        <v>1107</v>
      </c>
      <c r="I98" t="s">
        <v>1099</v>
      </c>
      <c r="J98" t="s">
        <v>420</v>
      </c>
      <c r="K98" t="s">
        <v>6</v>
      </c>
      <c r="L98" t="s">
        <v>409</v>
      </c>
      <c r="M98" t="s">
        <v>141</v>
      </c>
      <c r="N98" t="s">
        <v>7</v>
      </c>
      <c r="O98" t="s">
        <v>145</v>
      </c>
      <c r="P98" t="s">
        <v>21</v>
      </c>
      <c r="Q98" t="s">
        <v>164</v>
      </c>
      <c r="R98">
        <v>14.878220000000001</v>
      </c>
      <c r="S98">
        <v>12.244192999999999</v>
      </c>
    </row>
    <row r="99" spans="1:19">
      <c r="A99" t="s">
        <v>7</v>
      </c>
      <c r="B99" t="s">
        <v>145</v>
      </c>
      <c r="C99" t="s">
        <v>21</v>
      </c>
      <c r="D99" t="s">
        <v>164</v>
      </c>
      <c r="E99" t="s">
        <v>758</v>
      </c>
      <c r="F99" t="s">
        <v>759</v>
      </c>
      <c r="G99" t="s">
        <v>1107</v>
      </c>
      <c r="I99" t="s">
        <v>1099</v>
      </c>
      <c r="J99" t="s">
        <v>420</v>
      </c>
      <c r="K99" t="s">
        <v>6</v>
      </c>
      <c r="L99" t="s">
        <v>409</v>
      </c>
      <c r="M99" t="s">
        <v>141</v>
      </c>
      <c r="N99" t="s">
        <v>7</v>
      </c>
      <c r="O99" t="s">
        <v>145</v>
      </c>
      <c r="P99" t="s">
        <v>21</v>
      </c>
      <c r="Q99" t="s">
        <v>164</v>
      </c>
      <c r="R99">
        <v>14.198687</v>
      </c>
      <c r="S99">
        <v>12.442378</v>
      </c>
    </row>
    <row r="100" spans="1:19">
      <c r="A100" t="s">
        <v>7</v>
      </c>
      <c r="B100" t="s">
        <v>145</v>
      </c>
      <c r="C100" t="s">
        <v>21</v>
      </c>
      <c r="D100" t="s">
        <v>164</v>
      </c>
      <c r="E100" t="s">
        <v>738</v>
      </c>
      <c r="F100" t="s">
        <v>739</v>
      </c>
      <c r="G100" t="s">
        <v>1107</v>
      </c>
      <c r="I100" t="s">
        <v>1099</v>
      </c>
      <c r="J100" t="s">
        <v>420</v>
      </c>
      <c r="K100" t="s">
        <v>6</v>
      </c>
      <c r="L100" t="s">
        <v>409</v>
      </c>
      <c r="M100" t="s">
        <v>141</v>
      </c>
      <c r="N100" t="s">
        <v>7</v>
      </c>
      <c r="O100" t="s">
        <v>145</v>
      </c>
      <c r="P100" t="s">
        <v>21</v>
      </c>
      <c r="Q100" t="s">
        <v>164</v>
      </c>
      <c r="R100">
        <v>14.260308999999999</v>
      </c>
      <c r="S100">
        <v>12.393642</v>
      </c>
    </row>
    <row r="101" spans="1:19">
      <c r="A101" t="s">
        <v>7</v>
      </c>
      <c r="B101" t="s">
        <v>145</v>
      </c>
      <c r="C101" t="s">
        <v>21</v>
      </c>
      <c r="D101" t="s">
        <v>164</v>
      </c>
      <c r="E101" t="s">
        <v>734</v>
      </c>
      <c r="F101" t="s">
        <v>735</v>
      </c>
      <c r="G101" t="s">
        <v>1107</v>
      </c>
      <c r="I101" t="s">
        <v>1099</v>
      </c>
      <c r="J101" t="s">
        <v>420</v>
      </c>
      <c r="K101" t="s">
        <v>6</v>
      </c>
      <c r="L101" t="s">
        <v>409</v>
      </c>
      <c r="M101" t="s">
        <v>141</v>
      </c>
      <c r="N101" t="s">
        <v>7</v>
      </c>
      <c r="O101" t="s">
        <v>145</v>
      </c>
      <c r="P101" t="s">
        <v>21</v>
      </c>
      <c r="Q101" t="s">
        <v>164</v>
      </c>
      <c r="R101">
        <v>14.290922999999999</v>
      </c>
      <c r="S101">
        <v>12.414402000000001</v>
      </c>
    </row>
    <row r="102" spans="1:19">
      <c r="A102" t="s">
        <v>7</v>
      </c>
      <c r="B102" t="s">
        <v>145</v>
      </c>
      <c r="C102" t="s">
        <v>21</v>
      </c>
      <c r="D102" t="s">
        <v>164</v>
      </c>
      <c r="E102" t="s">
        <v>234</v>
      </c>
      <c r="F102" t="s">
        <v>233</v>
      </c>
      <c r="G102" t="s">
        <v>1107</v>
      </c>
      <c r="I102" t="s">
        <v>1099</v>
      </c>
      <c r="J102" t="s">
        <v>420</v>
      </c>
      <c r="K102" t="s">
        <v>6</v>
      </c>
      <c r="L102" t="s">
        <v>409</v>
      </c>
      <c r="M102" t="s">
        <v>141</v>
      </c>
      <c r="N102" t="s">
        <v>7</v>
      </c>
      <c r="O102" t="s">
        <v>145</v>
      </c>
      <c r="P102" t="s">
        <v>21</v>
      </c>
      <c r="Q102" t="s">
        <v>164</v>
      </c>
      <c r="R102">
        <v>14.343925</v>
      </c>
      <c r="S102">
        <v>12.373348999999999</v>
      </c>
    </row>
    <row r="103" spans="1:19">
      <c r="A103" t="s">
        <v>7</v>
      </c>
      <c r="B103" t="s">
        <v>145</v>
      </c>
      <c r="C103" t="s">
        <v>21</v>
      </c>
      <c r="D103" t="s">
        <v>164</v>
      </c>
      <c r="E103" t="s">
        <v>726</v>
      </c>
      <c r="F103" t="s">
        <v>727</v>
      </c>
      <c r="G103" t="s">
        <v>1107</v>
      </c>
      <c r="I103" t="s">
        <v>1099</v>
      </c>
      <c r="J103" t="s">
        <v>420</v>
      </c>
      <c r="K103" t="s">
        <v>6</v>
      </c>
      <c r="L103" t="s">
        <v>409</v>
      </c>
      <c r="M103" t="s">
        <v>141</v>
      </c>
      <c r="N103" t="s">
        <v>7</v>
      </c>
      <c r="O103" t="s">
        <v>145</v>
      </c>
      <c r="P103" t="s">
        <v>21</v>
      </c>
      <c r="Q103" t="s">
        <v>164</v>
      </c>
      <c r="R103">
        <v>14.227736999999999</v>
      </c>
      <c r="S103">
        <v>12.373082</v>
      </c>
    </row>
    <row r="104" spans="1:19">
      <c r="A104" t="s">
        <v>7</v>
      </c>
      <c r="B104" t="s">
        <v>145</v>
      </c>
      <c r="C104" t="s">
        <v>21</v>
      </c>
      <c r="D104" t="s">
        <v>164</v>
      </c>
      <c r="E104" t="s">
        <v>242</v>
      </c>
      <c r="F104" t="s">
        <v>241</v>
      </c>
      <c r="G104" t="s">
        <v>1107</v>
      </c>
      <c r="I104" t="s">
        <v>1099</v>
      </c>
      <c r="J104" t="s">
        <v>420</v>
      </c>
      <c r="K104" t="s">
        <v>6</v>
      </c>
      <c r="L104" t="s">
        <v>409</v>
      </c>
      <c r="M104" t="s">
        <v>141</v>
      </c>
      <c r="N104" t="s">
        <v>7</v>
      </c>
      <c r="O104" t="s">
        <v>145</v>
      </c>
      <c r="P104" t="s">
        <v>21</v>
      </c>
      <c r="Q104" t="s">
        <v>164</v>
      </c>
      <c r="R104">
        <v>14.300418000000001</v>
      </c>
      <c r="S104">
        <v>12.552453</v>
      </c>
    </row>
    <row r="105" spans="1:19">
      <c r="A105" t="s">
        <v>7</v>
      </c>
      <c r="B105" t="s">
        <v>145</v>
      </c>
      <c r="C105" t="s">
        <v>21</v>
      </c>
      <c r="D105" t="s">
        <v>164</v>
      </c>
      <c r="E105" t="s">
        <v>259</v>
      </c>
      <c r="F105" t="s">
        <v>258</v>
      </c>
      <c r="G105" t="s">
        <v>1107</v>
      </c>
      <c r="I105" t="s">
        <v>1099</v>
      </c>
      <c r="J105" t="s">
        <v>420</v>
      </c>
      <c r="K105" t="s">
        <v>6</v>
      </c>
      <c r="L105" t="s">
        <v>409</v>
      </c>
      <c r="M105" t="s">
        <v>141</v>
      </c>
      <c r="N105" t="s">
        <v>7</v>
      </c>
      <c r="O105" t="s">
        <v>145</v>
      </c>
      <c r="P105" t="s">
        <v>21</v>
      </c>
      <c r="Q105" t="s">
        <v>164</v>
      </c>
      <c r="R105">
        <v>14.258044</v>
      </c>
      <c r="S105">
        <v>12.368620999999999</v>
      </c>
    </row>
    <row r="106" spans="1:19">
      <c r="A106" t="s">
        <v>7</v>
      </c>
      <c r="B106" t="s">
        <v>145</v>
      </c>
      <c r="C106" t="s">
        <v>21</v>
      </c>
      <c r="D106" t="s">
        <v>164</v>
      </c>
      <c r="E106" t="s">
        <v>283</v>
      </c>
      <c r="F106" t="s">
        <v>282</v>
      </c>
      <c r="G106" t="s">
        <v>1107</v>
      </c>
      <c r="I106" t="s">
        <v>1099</v>
      </c>
      <c r="J106" t="s">
        <v>420</v>
      </c>
      <c r="K106" t="s">
        <v>6</v>
      </c>
      <c r="L106" t="s">
        <v>409</v>
      </c>
      <c r="M106" t="s">
        <v>141</v>
      </c>
      <c r="N106" t="s">
        <v>7</v>
      </c>
      <c r="O106" t="s">
        <v>145</v>
      </c>
      <c r="P106" t="s">
        <v>21</v>
      </c>
      <c r="Q106" t="s">
        <v>164</v>
      </c>
      <c r="R106">
        <v>14.297423999999999</v>
      </c>
      <c r="S106">
        <v>12.520439</v>
      </c>
    </row>
    <row r="107" spans="1:19">
      <c r="A107" t="s">
        <v>7</v>
      </c>
      <c r="B107" t="s">
        <v>145</v>
      </c>
      <c r="C107" t="s">
        <v>21</v>
      </c>
      <c r="D107" t="s">
        <v>164</v>
      </c>
      <c r="E107" t="s">
        <v>754</v>
      </c>
      <c r="F107" t="s">
        <v>755</v>
      </c>
      <c r="G107" t="s">
        <v>1107</v>
      </c>
      <c r="I107" t="s">
        <v>1099</v>
      </c>
      <c r="J107" t="s">
        <v>420</v>
      </c>
      <c r="K107" t="s">
        <v>6</v>
      </c>
      <c r="L107" t="s">
        <v>409</v>
      </c>
      <c r="M107" t="s">
        <v>141</v>
      </c>
      <c r="N107" t="s">
        <v>7</v>
      </c>
      <c r="O107" t="s">
        <v>145</v>
      </c>
      <c r="P107" t="s">
        <v>21</v>
      </c>
      <c r="Q107" t="s">
        <v>164</v>
      </c>
      <c r="R107">
        <v>14.518484000000001</v>
      </c>
      <c r="S107">
        <v>12.350113</v>
      </c>
    </row>
    <row r="108" spans="1:19">
      <c r="A108" t="s">
        <v>7</v>
      </c>
      <c r="B108" t="s">
        <v>145</v>
      </c>
      <c r="C108" t="s">
        <v>21</v>
      </c>
      <c r="D108" t="s">
        <v>164</v>
      </c>
      <c r="E108" t="s">
        <v>295</v>
      </c>
      <c r="F108" t="s">
        <v>296</v>
      </c>
      <c r="G108" t="s">
        <v>1107</v>
      </c>
      <c r="I108" t="s">
        <v>1099</v>
      </c>
      <c r="J108" t="s">
        <v>420</v>
      </c>
      <c r="K108" t="s">
        <v>6</v>
      </c>
      <c r="L108" t="s">
        <v>409</v>
      </c>
      <c r="M108" t="s">
        <v>141</v>
      </c>
      <c r="N108" t="s">
        <v>7</v>
      </c>
      <c r="O108" t="s">
        <v>145</v>
      </c>
      <c r="P108" t="s">
        <v>21</v>
      </c>
      <c r="Q108" t="s">
        <v>164</v>
      </c>
      <c r="R108">
        <v>14.745934</v>
      </c>
      <c r="S108">
        <v>12.428034</v>
      </c>
    </row>
    <row r="109" spans="1:19">
      <c r="A109" t="s">
        <v>7</v>
      </c>
      <c r="B109" t="s">
        <v>145</v>
      </c>
      <c r="C109" t="s">
        <v>21</v>
      </c>
      <c r="D109" t="s">
        <v>164</v>
      </c>
      <c r="E109" t="s">
        <v>731</v>
      </c>
      <c r="F109" t="s">
        <v>732</v>
      </c>
      <c r="G109" t="s">
        <v>1107</v>
      </c>
      <c r="I109" t="s">
        <v>1099</v>
      </c>
      <c r="J109" t="s">
        <v>420</v>
      </c>
      <c r="K109" t="s">
        <v>6</v>
      </c>
      <c r="L109" t="s">
        <v>409</v>
      </c>
      <c r="M109" t="s">
        <v>141</v>
      </c>
      <c r="N109" t="s">
        <v>7</v>
      </c>
      <c r="O109" t="s">
        <v>145</v>
      </c>
      <c r="P109" t="s">
        <v>21</v>
      </c>
      <c r="Q109" t="s">
        <v>164</v>
      </c>
      <c r="R109">
        <v>14.364651</v>
      </c>
      <c r="S109">
        <v>12.413166</v>
      </c>
    </row>
    <row r="110" spans="1:19">
      <c r="A110" t="s">
        <v>7</v>
      </c>
      <c r="B110" t="s">
        <v>145</v>
      </c>
      <c r="C110" t="s">
        <v>21</v>
      </c>
      <c r="D110" t="s">
        <v>164</v>
      </c>
      <c r="E110" t="s">
        <v>729</v>
      </c>
      <c r="F110" t="s">
        <v>730</v>
      </c>
      <c r="G110" t="s">
        <v>1107</v>
      </c>
      <c r="I110" t="s">
        <v>1099</v>
      </c>
      <c r="J110" t="s">
        <v>420</v>
      </c>
      <c r="K110" t="s">
        <v>6</v>
      </c>
      <c r="L110" t="s">
        <v>409</v>
      </c>
      <c r="M110" t="s">
        <v>141</v>
      </c>
      <c r="N110" t="s">
        <v>7</v>
      </c>
      <c r="O110" t="s">
        <v>145</v>
      </c>
      <c r="P110" t="s">
        <v>21</v>
      </c>
      <c r="Q110" t="s">
        <v>164</v>
      </c>
      <c r="R110">
        <v>14.2</v>
      </c>
      <c r="S110">
        <v>12.416667</v>
      </c>
    </row>
    <row r="111" spans="1:19">
      <c r="A111" t="s">
        <v>7</v>
      </c>
      <c r="B111" t="s">
        <v>145</v>
      </c>
      <c r="C111" t="s">
        <v>21</v>
      </c>
      <c r="D111" t="s">
        <v>164</v>
      </c>
      <c r="E111" t="s">
        <v>742</v>
      </c>
      <c r="F111" t="s">
        <v>743</v>
      </c>
      <c r="G111" t="s">
        <v>1107</v>
      </c>
      <c r="I111" t="s">
        <v>1099</v>
      </c>
      <c r="J111" t="s">
        <v>420</v>
      </c>
      <c r="K111" t="s">
        <v>6</v>
      </c>
      <c r="L111" t="s">
        <v>409</v>
      </c>
      <c r="M111" t="s">
        <v>141</v>
      </c>
      <c r="N111" t="s">
        <v>7</v>
      </c>
      <c r="O111" t="s">
        <v>145</v>
      </c>
      <c r="P111" t="s">
        <v>21</v>
      </c>
      <c r="Q111" t="s">
        <v>164</v>
      </c>
      <c r="R111">
        <v>14.233216000000001</v>
      </c>
      <c r="S111">
        <v>12.43158</v>
      </c>
    </row>
    <row r="112" spans="1:19">
      <c r="A112" t="s">
        <v>7</v>
      </c>
      <c r="B112" t="s">
        <v>145</v>
      </c>
      <c r="C112" t="s">
        <v>21</v>
      </c>
      <c r="D112" t="s">
        <v>164</v>
      </c>
      <c r="E112" t="s">
        <v>299</v>
      </c>
      <c r="F112" t="s">
        <v>750</v>
      </c>
      <c r="G112" t="s">
        <v>1107</v>
      </c>
      <c r="I112" t="s">
        <v>1099</v>
      </c>
      <c r="J112" t="s">
        <v>420</v>
      </c>
      <c r="K112" t="s">
        <v>6</v>
      </c>
      <c r="L112" t="s">
        <v>409</v>
      </c>
      <c r="M112" t="s">
        <v>141</v>
      </c>
      <c r="N112" t="s">
        <v>7</v>
      </c>
      <c r="O112" t="s">
        <v>145</v>
      </c>
      <c r="P112" t="s">
        <v>21</v>
      </c>
      <c r="Q112" t="s">
        <v>164</v>
      </c>
      <c r="R112">
        <v>14.261168</v>
      </c>
      <c r="S112">
        <v>12.549877</v>
      </c>
    </row>
    <row r="113" spans="1:19">
      <c r="A113" t="s">
        <v>7</v>
      </c>
      <c r="B113" t="s">
        <v>145</v>
      </c>
      <c r="C113" t="s">
        <v>21</v>
      </c>
      <c r="D113" t="s">
        <v>164</v>
      </c>
      <c r="E113" t="s">
        <v>740</v>
      </c>
      <c r="F113" t="s">
        <v>741</v>
      </c>
      <c r="G113" t="s">
        <v>1107</v>
      </c>
      <c r="I113" t="s">
        <v>1099</v>
      </c>
      <c r="J113" t="s">
        <v>420</v>
      </c>
      <c r="K113" t="s">
        <v>6</v>
      </c>
      <c r="L113" t="s">
        <v>409</v>
      </c>
      <c r="M113" t="s">
        <v>141</v>
      </c>
      <c r="N113" t="s">
        <v>7</v>
      </c>
      <c r="O113" t="s">
        <v>145</v>
      </c>
      <c r="P113" t="s">
        <v>21</v>
      </c>
      <c r="Q113" t="s">
        <v>164</v>
      </c>
      <c r="R113">
        <v>14.206906999999999</v>
      </c>
      <c r="S113">
        <v>12.419012</v>
      </c>
    </row>
    <row r="114" spans="1:19">
      <c r="A114" t="s">
        <v>7</v>
      </c>
      <c r="B114" t="s">
        <v>145</v>
      </c>
      <c r="C114" t="s">
        <v>19</v>
      </c>
      <c r="D114" t="s">
        <v>157</v>
      </c>
      <c r="E114" t="s">
        <v>776</v>
      </c>
      <c r="F114" t="s">
        <v>777</v>
      </c>
      <c r="G114" t="s">
        <v>1107</v>
      </c>
      <c r="I114" t="s">
        <v>1099</v>
      </c>
      <c r="J114" t="s">
        <v>420</v>
      </c>
      <c r="K114" t="s">
        <v>6</v>
      </c>
      <c r="L114" t="s">
        <v>409</v>
      </c>
      <c r="M114" t="s">
        <v>141</v>
      </c>
      <c r="N114" t="s">
        <v>7</v>
      </c>
      <c r="O114" t="s">
        <v>145</v>
      </c>
      <c r="P114" t="s">
        <v>21</v>
      </c>
      <c r="Q114" t="s">
        <v>164</v>
      </c>
      <c r="R114">
        <v>14.980278</v>
      </c>
      <c r="S114">
        <v>11.988889</v>
      </c>
    </row>
    <row r="115" spans="1:19">
      <c r="A115" t="s">
        <v>7</v>
      </c>
      <c r="B115" t="s">
        <v>145</v>
      </c>
      <c r="C115" t="s">
        <v>19</v>
      </c>
      <c r="D115" t="s">
        <v>157</v>
      </c>
      <c r="E115" t="s">
        <v>782</v>
      </c>
      <c r="F115" t="s">
        <v>783</v>
      </c>
      <c r="G115" t="s">
        <v>1107</v>
      </c>
      <c r="I115" t="s">
        <v>1099</v>
      </c>
      <c r="J115" t="s">
        <v>420</v>
      </c>
      <c r="K115" t="s">
        <v>6</v>
      </c>
      <c r="L115" t="s">
        <v>409</v>
      </c>
      <c r="M115" t="s">
        <v>141</v>
      </c>
      <c r="N115" t="s">
        <v>7</v>
      </c>
      <c r="O115" t="s">
        <v>145</v>
      </c>
      <c r="P115" t="s">
        <v>21</v>
      </c>
      <c r="Q115" t="s">
        <v>164</v>
      </c>
      <c r="R115">
        <v>14.991949999999999</v>
      </c>
      <c r="S115">
        <v>11.875548</v>
      </c>
    </row>
    <row r="116" spans="1:19">
      <c r="A116" t="s">
        <v>7</v>
      </c>
      <c r="B116" t="s">
        <v>145</v>
      </c>
      <c r="C116" t="s">
        <v>19</v>
      </c>
      <c r="D116" t="s">
        <v>157</v>
      </c>
      <c r="E116" t="s">
        <v>767</v>
      </c>
      <c r="F116" t="s">
        <v>768</v>
      </c>
      <c r="G116" t="s">
        <v>1107</v>
      </c>
      <c r="I116" t="s">
        <v>1099</v>
      </c>
      <c r="J116" t="s">
        <v>420</v>
      </c>
      <c r="K116" t="s">
        <v>6</v>
      </c>
      <c r="L116" t="s">
        <v>409</v>
      </c>
      <c r="M116" t="s">
        <v>141</v>
      </c>
      <c r="N116" t="s">
        <v>7</v>
      </c>
      <c r="O116" t="s">
        <v>145</v>
      </c>
      <c r="P116" t="s">
        <v>21</v>
      </c>
      <c r="Q116" t="s">
        <v>164</v>
      </c>
      <c r="R116">
        <v>14.827083</v>
      </c>
      <c r="S116">
        <v>12.406076000000001</v>
      </c>
    </row>
    <row r="117" spans="1:19">
      <c r="A117" t="s">
        <v>7</v>
      </c>
      <c r="B117" t="s">
        <v>145</v>
      </c>
      <c r="C117" t="s">
        <v>19</v>
      </c>
      <c r="D117" t="s">
        <v>157</v>
      </c>
      <c r="E117" t="s">
        <v>221</v>
      </c>
      <c r="F117" t="s">
        <v>68</v>
      </c>
      <c r="G117" t="s">
        <v>1107</v>
      </c>
      <c r="I117" t="s">
        <v>1099</v>
      </c>
      <c r="J117" t="s">
        <v>420</v>
      </c>
      <c r="K117" t="s">
        <v>6</v>
      </c>
      <c r="L117" t="s">
        <v>409</v>
      </c>
      <c r="M117" t="s">
        <v>141</v>
      </c>
      <c r="N117" t="s">
        <v>7</v>
      </c>
      <c r="O117" t="s">
        <v>145</v>
      </c>
      <c r="P117" t="s">
        <v>21</v>
      </c>
      <c r="Q117" t="s">
        <v>164</v>
      </c>
      <c r="R117">
        <v>15.050891999999999</v>
      </c>
      <c r="S117">
        <v>12.050858</v>
      </c>
    </row>
    <row r="118" spans="1:19">
      <c r="A118" t="s">
        <v>7</v>
      </c>
      <c r="B118" t="s">
        <v>145</v>
      </c>
      <c r="C118" t="s">
        <v>19</v>
      </c>
      <c r="D118" t="s">
        <v>157</v>
      </c>
      <c r="E118" t="s">
        <v>194</v>
      </c>
      <c r="G118" t="s">
        <v>1107</v>
      </c>
      <c r="I118" t="s">
        <v>1099</v>
      </c>
      <c r="J118" t="s">
        <v>420</v>
      </c>
      <c r="K118" t="s">
        <v>6</v>
      </c>
      <c r="L118" t="s">
        <v>409</v>
      </c>
      <c r="M118" t="s">
        <v>141</v>
      </c>
      <c r="N118" t="s">
        <v>7</v>
      </c>
      <c r="O118" t="s">
        <v>145</v>
      </c>
      <c r="P118" t="s">
        <v>21</v>
      </c>
      <c r="Q118" t="s">
        <v>164</v>
      </c>
    </row>
    <row r="119" spans="1:19">
      <c r="A119" t="s">
        <v>7</v>
      </c>
      <c r="B119" t="s">
        <v>145</v>
      </c>
      <c r="C119" t="s">
        <v>19</v>
      </c>
      <c r="D119" t="s">
        <v>157</v>
      </c>
      <c r="E119" t="s">
        <v>780</v>
      </c>
      <c r="G119" t="s">
        <v>1107</v>
      </c>
      <c r="I119" t="s">
        <v>1099</v>
      </c>
      <c r="J119" t="s">
        <v>420</v>
      </c>
      <c r="K119" t="s">
        <v>6</v>
      </c>
      <c r="L119" t="s">
        <v>409</v>
      </c>
      <c r="M119" t="s">
        <v>141</v>
      </c>
      <c r="N119" t="s">
        <v>7</v>
      </c>
      <c r="O119" t="s">
        <v>145</v>
      </c>
      <c r="P119" t="s">
        <v>21</v>
      </c>
      <c r="Q119" t="s">
        <v>164</v>
      </c>
    </row>
    <row r="120" spans="1:19">
      <c r="A120" t="s">
        <v>7</v>
      </c>
      <c r="B120" t="s">
        <v>145</v>
      </c>
      <c r="C120" t="s">
        <v>19</v>
      </c>
      <c r="D120" t="s">
        <v>157</v>
      </c>
      <c r="E120" t="s">
        <v>781</v>
      </c>
      <c r="G120" t="s">
        <v>1107</v>
      </c>
      <c r="I120" t="s">
        <v>1099</v>
      </c>
      <c r="J120" t="s">
        <v>420</v>
      </c>
      <c r="K120" t="s">
        <v>6</v>
      </c>
      <c r="L120" t="s">
        <v>409</v>
      </c>
      <c r="M120" t="s">
        <v>141</v>
      </c>
      <c r="N120" t="s">
        <v>7</v>
      </c>
      <c r="O120" t="s">
        <v>145</v>
      </c>
      <c r="P120" t="s">
        <v>135</v>
      </c>
      <c r="Q120" t="s">
        <v>166</v>
      </c>
    </row>
    <row r="121" spans="1:19">
      <c r="A121" t="s">
        <v>7</v>
      </c>
      <c r="B121" t="s">
        <v>145</v>
      </c>
      <c r="C121" t="s">
        <v>19</v>
      </c>
      <c r="D121" t="s">
        <v>157</v>
      </c>
      <c r="E121" t="s">
        <v>771</v>
      </c>
      <c r="G121" t="s">
        <v>1107</v>
      </c>
      <c r="I121" t="s">
        <v>1099</v>
      </c>
      <c r="J121" t="s">
        <v>420</v>
      </c>
      <c r="K121" t="s">
        <v>6</v>
      </c>
      <c r="L121" t="s">
        <v>409</v>
      </c>
      <c r="M121" t="s">
        <v>141</v>
      </c>
      <c r="N121" t="s">
        <v>7</v>
      </c>
      <c r="O121" t="s">
        <v>145</v>
      </c>
      <c r="P121" t="s">
        <v>21</v>
      </c>
      <c r="Q121" t="s">
        <v>164</v>
      </c>
    </row>
    <row r="122" spans="1:19">
      <c r="A122" t="s">
        <v>7</v>
      </c>
      <c r="B122" t="s">
        <v>145</v>
      </c>
      <c r="C122" t="s">
        <v>19</v>
      </c>
      <c r="D122" t="s">
        <v>157</v>
      </c>
      <c r="E122" t="s">
        <v>779</v>
      </c>
      <c r="G122" t="s">
        <v>1107</v>
      </c>
      <c r="I122" t="s">
        <v>1099</v>
      </c>
      <c r="J122" t="s">
        <v>420</v>
      </c>
      <c r="K122" t="s">
        <v>6</v>
      </c>
      <c r="L122" t="s">
        <v>409</v>
      </c>
      <c r="M122" t="s">
        <v>141</v>
      </c>
      <c r="N122" t="s">
        <v>7</v>
      </c>
      <c r="O122" t="s">
        <v>145</v>
      </c>
      <c r="P122" t="s">
        <v>21</v>
      </c>
      <c r="Q122" t="s">
        <v>164</v>
      </c>
    </row>
    <row r="123" spans="1:19">
      <c r="A123" t="s">
        <v>7</v>
      </c>
      <c r="B123" t="s">
        <v>145</v>
      </c>
      <c r="C123" t="s">
        <v>19</v>
      </c>
      <c r="D123" t="s">
        <v>157</v>
      </c>
      <c r="E123" t="s">
        <v>195</v>
      </c>
      <c r="G123" t="s">
        <v>1107</v>
      </c>
      <c r="I123" t="s">
        <v>1099</v>
      </c>
      <c r="J123" t="s">
        <v>420</v>
      </c>
      <c r="K123" t="s">
        <v>6</v>
      </c>
      <c r="L123" t="s">
        <v>409</v>
      </c>
      <c r="M123" t="s">
        <v>141</v>
      </c>
      <c r="N123" t="s">
        <v>7</v>
      </c>
      <c r="O123" t="s">
        <v>145</v>
      </c>
      <c r="P123" t="s">
        <v>21</v>
      </c>
      <c r="Q123" t="s">
        <v>164</v>
      </c>
    </row>
    <row r="124" spans="1:19">
      <c r="A124" t="s">
        <v>7</v>
      </c>
      <c r="B124" t="s">
        <v>145</v>
      </c>
      <c r="C124" t="s">
        <v>19</v>
      </c>
      <c r="D124" t="s">
        <v>157</v>
      </c>
      <c r="E124" t="s">
        <v>762</v>
      </c>
      <c r="G124" t="s">
        <v>1107</v>
      </c>
      <c r="I124" t="s">
        <v>1099</v>
      </c>
      <c r="J124" t="s">
        <v>420</v>
      </c>
      <c r="K124" t="s">
        <v>6</v>
      </c>
      <c r="L124" t="s">
        <v>409</v>
      </c>
      <c r="M124" t="s">
        <v>141</v>
      </c>
      <c r="N124" t="s">
        <v>7</v>
      </c>
      <c r="O124" t="s">
        <v>145</v>
      </c>
      <c r="P124" t="s">
        <v>21</v>
      </c>
      <c r="Q124" t="s">
        <v>164</v>
      </c>
    </row>
    <row r="125" spans="1:19">
      <c r="A125" t="s">
        <v>7</v>
      </c>
      <c r="B125" t="s">
        <v>145</v>
      </c>
      <c r="C125" t="s">
        <v>19</v>
      </c>
      <c r="D125" t="s">
        <v>157</v>
      </c>
      <c r="E125" t="s">
        <v>761</v>
      </c>
      <c r="G125" t="s">
        <v>1107</v>
      </c>
      <c r="I125" t="s">
        <v>1099</v>
      </c>
      <c r="J125" t="s">
        <v>420</v>
      </c>
      <c r="K125" t="s">
        <v>6</v>
      </c>
      <c r="L125" t="s">
        <v>409</v>
      </c>
      <c r="M125" t="s">
        <v>141</v>
      </c>
      <c r="N125" t="s">
        <v>7</v>
      </c>
      <c r="O125" t="s">
        <v>145</v>
      </c>
      <c r="P125" t="s">
        <v>21</v>
      </c>
      <c r="Q125" t="s">
        <v>164</v>
      </c>
    </row>
    <row r="126" spans="1:19">
      <c r="A126" t="s">
        <v>7</v>
      </c>
      <c r="B126" t="s">
        <v>145</v>
      </c>
      <c r="C126" t="s">
        <v>19</v>
      </c>
      <c r="D126" t="s">
        <v>157</v>
      </c>
      <c r="E126" t="s">
        <v>778</v>
      </c>
      <c r="G126" t="s">
        <v>1107</v>
      </c>
      <c r="I126" t="s">
        <v>1099</v>
      </c>
      <c r="J126" t="s">
        <v>420</v>
      </c>
      <c r="K126" t="s">
        <v>6</v>
      </c>
      <c r="L126" t="s">
        <v>409</v>
      </c>
      <c r="M126" t="s">
        <v>141</v>
      </c>
      <c r="N126" t="s">
        <v>7</v>
      </c>
      <c r="O126" t="s">
        <v>145</v>
      </c>
      <c r="P126" t="s">
        <v>21</v>
      </c>
      <c r="Q126" t="s">
        <v>164</v>
      </c>
    </row>
    <row r="127" spans="1:19">
      <c r="A127" t="s">
        <v>7</v>
      </c>
      <c r="B127" t="s">
        <v>145</v>
      </c>
      <c r="C127" t="s">
        <v>19</v>
      </c>
      <c r="D127" t="s">
        <v>157</v>
      </c>
      <c r="E127" t="s">
        <v>774</v>
      </c>
      <c r="F127" t="s">
        <v>775</v>
      </c>
      <c r="G127" t="s">
        <v>1107</v>
      </c>
      <c r="I127" t="s">
        <v>1099</v>
      </c>
      <c r="J127" t="s">
        <v>420</v>
      </c>
      <c r="K127" t="s">
        <v>6</v>
      </c>
      <c r="L127" t="s">
        <v>409</v>
      </c>
      <c r="M127" t="s">
        <v>141</v>
      </c>
      <c r="N127" t="s">
        <v>7</v>
      </c>
      <c r="O127" t="s">
        <v>145</v>
      </c>
      <c r="P127" t="s">
        <v>21</v>
      </c>
      <c r="Q127" t="s">
        <v>164</v>
      </c>
      <c r="R127">
        <v>14.742482000000001</v>
      </c>
      <c r="S127">
        <v>12.510966</v>
      </c>
    </row>
    <row r="128" spans="1:19">
      <c r="A128" t="s">
        <v>7</v>
      </c>
      <c r="B128" t="s">
        <v>145</v>
      </c>
      <c r="C128" t="s">
        <v>19</v>
      </c>
      <c r="D128" t="s">
        <v>157</v>
      </c>
      <c r="E128" t="s">
        <v>238</v>
      </c>
      <c r="F128" t="s">
        <v>237</v>
      </c>
      <c r="G128" t="s">
        <v>1107</v>
      </c>
      <c r="I128" t="s">
        <v>1099</v>
      </c>
      <c r="J128" t="s">
        <v>420</v>
      </c>
      <c r="K128" t="s">
        <v>6</v>
      </c>
      <c r="L128" t="s">
        <v>409</v>
      </c>
      <c r="M128" t="s">
        <v>141</v>
      </c>
      <c r="N128" t="s">
        <v>7</v>
      </c>
      <c r="O128" t="s">
        <v>145</v>
      </c>
      <c r="P128" t="s">
        <v>21</v>
      </c>
      <c r="Q128" t="s">
        <v>164</v>
      </c>
      <c r="R128">
        <v>14.783217</v>
      </c>
      <c r="S128">
        <v>12.216443999999999</v>
      </c>
    </row>
    <row r="129" spans="1:19">
      <c r="A129" t="s">
        <v>7</v>
      </c>
      <c r="B129" t="s">
        <v>145</v>
      </c>
      <c r="C129" t="s">
        <v>19</v>
      </c>
      <c r="D129" t="s">
        <v>157</v>
      </c>
      <c r="E129" t="s">
        <v>239</v>
      </c>
      <c r="F129" t="s">
        <v>55</v>
      </c>
      <c r="G129" t="s">
        <v>1107</v>
      </c>
      <c r="I129" t="s">
        <v>1099</v>
      </c>
      <c r="J129" t="s">
        <v>420</v>
      </c>
      <c r="K129" t="s">
        <v>6</v>
      </c>
      <c r="L129" t="s">
        <v>409</v>
      </c>
      <c r="M129" t="s">
        <v>141</v>
      </c>
      <c r="N129" t="s">
        <v>7</v>
      </c>
      <c r="O129" t="s">
        <v>145</v>
      </c>
      <c r="P129" t="s">
        <v>21</v>
      </c>
      <c r="Q129" t="s">
        <v>164</v>
      </c>
      <c r="R129">
        <v>14.929874</v>
      </c>
      <c r="S129">
        <v>12.379930999999999</v>
      </c>
    </row>
    <row r="130" spans="1:19">
      <c r="A130" t="s">
        <v>7</v>
      </c>
      <c r="B130" t="s">
        <v>145</v>
      </c>
      <c r="C130" t="s">
        <v>19</v>
      </c>
      <c r="D130" t="s">
        <v>157</v>
      </c>
      <c r="E130" t="s">
        <v>239</v>
      </c>
      <c r="F130" t="s">
        <v>55</v>
      </c>
      <c r="G130" t="s">
        <v>1107</v>
      </c>
      <c r="I130" t="s">
        <v>1099</v>
      </c>
      <c r="J130" t="s">
        <v>420</v>
      </c>
      <c r="K130" t="s">
        <v>6</v>
      </c>
      <c r="L130" t="s">
        <v>409</v>
      </c>
      <c r="M130" t="s">
        <v>141</v>
      </c>
      <c r="N130" t="s">
        <v>7</v>
      </c>
      <c r="O130" t="s">
        <v>145</v>
      </c>
      <c r="P130" t="s">
        <v>8</v>
      </c>
      <c r="Q130" t="s">
        <v>165</v>
      </c>
      <c r="R130">
        <v>14.929874</v>
      </c>
      <c r="S130">
        <v>12.379930999999999</v>
      </c>
    </row>
    <row r="131" spans="1:19">
      <c r="A131" t="s">
        <v>7</v>
      </c>
      <c r="B131" t="s">
        <v>145</v>
      </c>
      <c r="C131" t="s">
        <v>19</v>
      </c>
      <c r="D131" t="s">
        <v>157</v>
      </c>
      <c r="E131" t="s">
        <v>772</v>
      </c>
      <c r="F131" t="s">
        <v>773</v>
      </c>
      <c r="G131" t="s">
        <v>1107</v>
      </c>
      <c r="I131" t="s">
        <v>1099</v>
      </c>
      <c r="J131" t="s">
        <v>420</v>
      </c>
      <c r="K131" t="s">
        <v>6</v>
      </c>
      <c r="L131" t="s">
        <v>409</v>
      </c>
      <c r="M131" t="s">
        <v>141</v>
      </c>
      <c r="N131" t="s">
        <v>7</v>
      </c>
      <c r="O131" t="s">
        <v>145</v>
      </c>
      <c r="P131" t="s">
        <v>21</v>
      </c>
      <c r="Q131" t="s">
        <v>164</v>
      </c>
      <c r="R131">
        <v>14.749714000000001</v>
      </c>
      <c r="S131">
        <v>12.402772000000001</v>
      </c>
    </row>
    <row r="132" spans="1:19">
      <c r="A132" t="s">
        <v>7</v>
      </c>
      <c r="B132" t="s">
        <v>145</v>
      </c>
      <c r="C132" t="s">
        <v>19</v>
      </c>
      <c r="D132" t="s">
        <v>157</v>
      </c>
      <c r="E132" t="s">
        <v>763</v>
      </c>
      <c r="F132" t="s">
        <v>764</v>
      </c>
      <c r="G132" t="s">
        <v>1107</v>
      </c>
      <c r="I132" t="s">
        <v>1099</v>
      </c>
      <c r="J132" t="s">
        <v>420</v>
      </c>
      <c r="K132" t="s">
        <v>6</v>
      </c>
      <c r="L132" t="s">
        <v>409</v>
      </c>
      <c r="M132" t="s">
        <v>141</v>
      </c>
      <c r="N132" t="s">
        <v>7</v>
      </c>
      <c r="O132" t="s">
        <v>145</v>
      </c>
      <c r="P132" t="s">
        <v>21</v>
      </c>
      <c r="Q132" t="s">
        <v>164</v>
      </c>
      <c r="R132">
        <v>14.723628</v>
      </c>
      <c r="S132">
        <v>12.660116</v>
      </c>
    </row>
    <row r="133" spans="1:19">
      <c r="A133" t="s">
        <v>7</v>
      </c>
      <c r="B133" t="s">
        <v>145</v>
      </c>
      <c r="C133" t="s">
        <v>19</v>
      </c>
      <c r="D133" t="s">
        <v>157</v>
      </c>
      <c r="E133" t="s">
        <v>265</v>
      </c>
      <c r="F133" t="s">
        <v>264</v>
      </c>
      <c r="G133" t="s">
        <v>1107</v>
      </c>
      <c r="I133" t="s">
        <v>1099</v>
      </c>
      <c r="J133" t="s">
        <v>420</v>
      </c>
      <c r="K133" t="s">
        <v>6</v>
      </c>
      <c r="L133" t="s">
        <v>409</v>
      </c>
      <c r="M133" t="s">
        <v>141</v>
      </c>
      <c r="N133" t="s">
        <v>7</v>
      </c>
      <c r="O133" t="s">
        <v>145</v>
      </c>
      <c r="P133" t="s">
        <v>21</v>
      </c>
      <c r="Q133" t="s">
        <v>164</v>
      </c>
      <c r="R133">
        <v>14.75</v>
      </c>
      <c r="S133">
        <v>12.433332999999999</v>
      </c>
    </row>
    <row r="134" spans="1:19">
      <c r="A134" t="s">
        <v>7</v>
      </c>
      <c r="B134" t="s">
        <v>145</v>
      </c>
      <c r="C134" t="s">
        <v>19</v>
      </c>
      <c r="D134" t="s">
        <v>157</v>
      </c>
      <c r="E134" t="s">
        <v>268</v>
      </c>
      <c r="F134" t="s">
        <v>267</v>
      </c>
      <c r="G134" t="s">
        <v>1107</v>
      </c>
      <c r="I134" t="s">
        <v>1099</v>
      </c>
      <c r="J134" t="s">
        <v>420</v>
      </c>
      <c r="K134" t="s">
        <v>6</v>
      </c>
      <c r="L134" t="s">
        <v>409</v>
      </c>
      <c r="M134" t="s">
        <v>141</v>
      </c>
      <c r="N134" t="s">
        <v>7</v>
      </c>
      <c r="O134" t="s">
        <v>145</v>
      </c>
      <c r="P134" t="s">
        <v>21</v>
      </c>
      <c r="Q134" t="s">
        <v>164</v>
      </c>
      <c r="R134">
        <v>14.383333</v>
      </c>
      <c r="S134">
        <v>12.45</v>
      </c>
    </row>
    <row r="135" spans="1:19">
      <c r="A135" t="s">
        <v>7</v>
      </c>
      <c r="B135" t="s">
        <v>145</v>
      </c>
      <c r="C135" t="s">
        <v>19</v>
      </c>
      <c r="D135" t="s">
        <v>157</v>
      </c>
      <c r="E135" t="s">
        <v>273</v>
      </c>
      <c r="F135" t="s">
        <v>272</v>
      </c>
      <c r="G135" t="s">
        <v>1107</v>
      </c>
      <c r="I135" t="s">
        <v>1099</v>
      </c>
      <c r="J135" t="s">
        <v>420</v>
      </c>
      <c r="K135" t="s">
        <v>6</v>
      </c>
      <c r="L135" t="s">
        <v>409</v>
      </c>
      <c r="M135" t="s">
        <v>141</v>
      </c>
      <c r="N135" t="s">
        <v>7</v>
      </c>
      <c r="O135" t="s">
        <v>145</v>
      </c>
      <c r="P135" t="s">
        <v>21</v>
      </c>
      <c r="Q135" t="s">
        <v>164</v>
      </c>
      <c r="R135">
        <v>14.75</v>
      </c>
      <c r="S135">
        <v>12.4</v>
      </c>
    </row>
    <row r="136" spans="1:19">
      <c r="A136" t="s">
        <v>7</v>
      </c>
      <c r="B136" t="s">
        <v>145</v>
      </c>
      <c r="C136" t="s">
        <v>19</v>
      </c>
      <c r="D136" t="s">
        <v>157</v>
      </c>
      <c r="E136" t="s">
        <v>279</v>
      </c>
      <c r="F136" t="s">
        <v>278</v>
      </c>
      <c r="G136" t="s">
        <v>1107</v>
      </c>
      <c r="I136" t="s">
        <v>1099</v>
      </c>
      <c r="J136" t="s">
        <v>420</v>
      </c>
      <c r="K136" t="s">
        <v>6</v>
      </c>
      <c r="L136" t="s">
        <v>409</v>
      </c>
      <c r="M136" t="s">
        <v>141</v>
      </c>
      <c r="N136" t="s">
        <v>7</v>
      </c>
      <c r="O136" t="s">
        <v>145</v>
      </c>
      <c r="P136" t="s">
        <v>21</v>
      </c>
      <c r="Q136" t="s">
        <v>164</v>
      </c>
      <c r="R136">
        <v>14.783333000000001</v>
      </c>
      <c r="S136">
        <v>12.533333000000001</v>
      </c>
    </row>
    <row r="137" spans="1:19">
      <c r="A137" t="s">
        <v>7</v>
      </c>
      <c r="B137" t="s">
        <v>145</v>
      </c>
      <c r="C137" t="s">
        <v>19</v>
      </c>
      <c r="D137" t="s">
        <v>157</v>
      </c>
      <c r="E137" t="s">
        <v>279</v>
      </c>
      <c r="F137" t="s">
        <v>278</v>
      </c>
      <c r="G137" t="s">
        <v>1107</v>
      </c>
      <c r="I137" t="s">
        <v>1099</v>
      </c>
      <c r="J137" t="s">
        <v>420</v>
      </c>
      <c r="K137" t="s">
        <v>6</v>
      </c>
      <c r="L137" t="s">
        <v>409</v>
      </c>
      <c r="M137" t="s">
        <v>141</v>
      </c>
      <c r="N137" t="s">
        <v>7</v>
      </c>
      <c r="O137" t="s">
        <v>145</v>
      </c>
      <c r="P137" t="s">
        <v>21</v>
      </c>
      <c r="Q137" t="s">
        <v>164</v>
      </c>
      <c r="R137">
        <v>14.783333000000001</v>
      </c>
      <c r="S137">
        <v>12.533333000000001</v>
      </c>
    </row>
    <row r="138" spans="1:19">
      <c r="A138" t="s">
        <v>7</v>
      </c>
      <c r="B138" t="s">
        <v>145</v>
      </c>
      <c r="C138" t="s">
        <v>19</v>
      </c>
      <c r="D138" t="s">
        <v>157</v>
      </c>
      <c r="E138" t="s">
        <v>765</v>
      </c>
      <c r="F138" t="s">
        <v>766</v>
      </c>
      <c r="G138" t="s">
        <v>1107</v>
      </c>
      <c r="I138" t="s">
        <v>1099</v>
      </c>
      <c r="J138" t="s">
        <v>420</v>
      </c>
      <c r="K138" t="s">
        <v>6</v>
      </c>
      <c r="L138" t="s">
        <v>409</v>
      </c>
      <c r="M138" t="s">
        <v>141</v>
      </c>
      <c r="N138" t="s">
        <v>7</v>
      </c>
      <c r="O138" t="s">
        <v>145</v>
      </c>
      <c r="P138" t="s">
        <v>21</v>
      </c>
      <c r="Q138" t="s">
        <v>164</v>
      </c>
      <c r="R138">
        <v>14.454148999999999</v>
      </c>
      <c r="S138">
        <v>10.947327</v>
      </c>
    </row>
    <row r="139" spans="1:19">
      <c r="A139" t="s">
        <v>7</v>
      </c>
      <c r="B139" t="s">
        <v>145</v>
      </c>
      <c r="C139" t="s">
        <v>19</v>
      </c>
      <c r="D139" t="s">
        <v>157</v>
      </c>
      <c r="E139" t="s">
        <v>294</v>
      </c>
      <c r="F139" t="s">
        <v>293</v>
      </c>
      <c r="G139" t="s">
        <v>1107</v>
      </c>
      <c r="I139" t="s">
        <v>1099</v>
      </c>
      <c r="J139" t="s">
        <v>420</v>
      </c>
      <c r="K139" t="s">
        <v>6</v>
      </c>
      <c r="L139" t="s">
        <v>409</v>
      </c>
      <c r="M139" t="s">
        <v>141</v>
      </c>
      <c r="N139" t="s">
        <v>7</v>
      </c>
      <c r="O139" t="s">
        <v>145</v>
      </c>
      <c r="P139" t="s">
        <v>21</v>
      </c>
      <c r="Q139" t="s">
        <v>164</v>
      </c>
      <c r="R139">
        <v>14.7102</v>
      </c>
      <c r="S139">
        <v>12.469942</v>
      </c>
    </row>
    <row r="140" spans="1:19">
      <c r="A140" t="s">
        <v>7</v>
      </c>
      <c r="B140" t="s">
        <v>145</v>
      </c>
      <c r="C140" t="s">
        <v>19</v>
      </c>
      <c r="D140" t="s">
        <v>157</v>
      </c>
      <c r="E140" t="s">
        <v>295</v>
      </c>
      <c r="F140" t="s">
        <v>296</v>
      </c>
      <c r="G140" t="s">
        <v>1107</v>
      </c>
      <c r="I140" t="s">
        <v>1099</v>
      </c>
      <c r="J140" t="s">
        <v>420</v>
      </c>
      <c r="K140" t="s">
        <v>6</v>
      </c>
      <c r="L140" t="s">
        <v>409</v>
      </c>
      <c r="M140" t="s">
        <v>141</v>
      </c>
      <c r="N140" t="s">
        <v>7</v>
      </c>
      <c r="O140" t="s">
        <v>145</v>
      </c>
      <c r="P140" t="s">
        <v>21</v>
      </c>
      <c r="Q140" t="s">
        <v>164</v>
      </c>
      <c r="R140">
        <v>14.745934</v>
      </c>
      <c r="S140">
        <v>12.428034</v>
      </c>
    </row>
    <row r="141" spans="1:19">
      <c r="A141" t="s">
        <v>7</v>
      </c>
      <c r="B141" t="s">
        <v>145</v>
      </c>
      <c r="C141" t="s">
        <v>19</v>
      </c>
      <c r="D141" t="s">
        <v>157</v>
      </c>
      <c r="E141" t="s">
        <v>298</v>
      </c>
      <c r="F141" t="s">
        <v>297</v>
      </c>
      <c r="G141" t="s">
        <v>1107</v>
      </c>
      <c r="I141" t="s">
        <v>1099</v>
      </c>
      <c r="J141" t="s">
        <v>420</v>
      </c>
      <c r="K141" t="s">
        <v>6</v>
      </c>
      <c r="L141" t="s">
        <v>409</v>
      </c>
      <c r="M141" t="s">
        <v>141</v>
      </c>
      <c r="N141" t="s">
        <v>7</v>
      </c>
      <c r="O141" t="s">
        <v>145</v>
      </c>
      <c r="P141" t="s">
        <v>21</v>
      </c>
      <c r="Q141" t="s">
        <v>164</v>
      </c>
      <c r="R141">
        <v>14.854911</v>
      </c>
      <c r="S141">
        <v>12.355528</v>
      </c>
    </row>
    <row r="142" spans="1:19">
      <c r="A142" t="s">
        <v>7</v>
      </c>
      <c r="B142" t="s">
        <v>145</v>
      </c>
      <c r="C142" t="s">
        <v>19</v>
      </c>
      <c r="D142" t="s">
        <v>157</v>
      </c>
      <c r="E142" t="s">
        <v>769</v>
      </c>
      <c r="F142" t="s">
        <v>770</v>
      </c>
      <c r="G142" t="s">
        <v>1107</v>
      </c>
      <c r="I142" t="s">
        <v>1099</v>
      </c>
      <c r="J142" t="s">
        <v>420</v>
      </c>
      <c r="K142" t="s">
        <v>6</v>
      </c>
      <c r="L142" t="s">
        <v>409</v>
      </c>
      <c r="M142" t="s">
        <v>141</v>
      </c>
      <c r="N142" t="s">
        <v>7</v>
      </c>
      <c r="O142" t="s">
        <v>145</v>
      </c>
      <c r="P142" t="s">
        <v>8</v>
      </c>
      <c r="Q142" t="s">
        <v>165</v>
      </c>
      <c r="R142">
        <v>14.65</v>
      </c>
      <c r="S142">
        <v>12.6</v>
      </c>
    </row>
    <row r="143" spans="1:19">
      <c r="A143" t="s">
        <v>7</v>
      </c>
      <c r="B143" t="s">
        <v>145</v>
      </c>
      <c r="C143" t="s">
        <v>19</v>
      </c>
      <c r="D143" t="s">
        <v>157</v>
      </c>
      <c r="E143" t="s">
        <v>306</v>
      </c>
      <c r="F143" t="s">
        <v>305</v>
      </c>
      <c r="G143" t="s">
        <v>1107</v>
      </c>
      <c r="I143" t="s">
        <v>1099</v>
      </c>
      <c r="J143" t="s">
        <v>420</v>
      </c>
      <c r="K143" t="s">
        <v>6</v>
      </c>
      <c r="L143" t="s">
        <v>409</v>
      </c>
      <c r="M143" t="s">
        <v>141</v>
      </c>
      <c r="N143" t="s">
        <v>7</v>
      </c>
      <c r="O143" t="s">
        <v>145</v>
      </c>
      <c r="P143" t="s">
        <v>21</v>
      </c>
      <c r="Q143" t="s">
        <v>164</v>
      </c>
      <c r="R143">
        <v>14.800176</v>
      </c>
      <c r="S143">
        <v>12.484536</v>
      </c>
    </row>
    <row r="144" spans="1:19">
      <c r="A144" t="s">
        <v>7</v>
      </c>
      <c r="B144" t="s">
        <v>145</v>
      </c>
      <c r="C144" t="s">
        <v>19</v>
      </c>
      <c r="D144" t="s">
        <v>157</v>
      </c>
      <c r="E144" t="s">
        <v>308</v>
      </c>
      <c r="F144" t="s">
        <v>307</v>
      </c>
      <c r="G144" t="s">
        <v>1107</v>
      </c>
      <c r="I144" t="s">
        <v>1099</v>
      </c>
      <c r="J144" t="s">
        <v>420</v>
      </c>
      <c r="K144" t="s">
        <v>6</v>
      </c>
      <c r="L144" t="s">
        <v>409</v>
      </c>
      <c r="M144" t="s">
        <v>141</v>
      </c>
      <c r="N144" t="s">
        <v>7</v>
      </c>
      <c r="O144" t="s">
        <v>145</v>
      </c>
      <c r="P144" t="s">
        <v>8</v>
      </c>
      <c r="Q144" t="s">
        <v>165</v>
      </c>
      <c r="R144">
        <v>14.788290999999999</v>
      </c>
      <c r="S144">
        <v>12.512941</v>
      </c>
    </row>
    <row r="145" spans="1:19">
      <c r="A145" t="s">
        <v>7</v>
      </c>
      <c r="B145" t="s">
        <v>145</v>
      </c>
      <c r="C145" t="s">
        <v>19</v>
      </c>
      <c r="D145" t="s">
        <v>157</v>
      </c>
      <c r="E145" t="s">
        <v>311</v>
      </c>
      <c r="F145" t="s">
        <v>310</v>
      </c>
      <c r="G145" t="s">
        <v>1107</v>
      </c>
      <c r="I145" t="s">
        <v>1099</v>
      </c>
      <c r="J145" t="s">
        <v>420</v>
      </c>
      <c r="K145" t="s">
        <v>6</v>
      </c>
      <c r="L145" t="s">
        <v>409</v>
      </c>
      <c r="M145" t="s">
        <v>141</v>
      </c>
      <c r="N145" t="s">
        <v>7</v>
      </c>
      <c r="O145" t="s">
        <v>145</v>
      </c>
      <c r="P145" t="s">
        <v>8</v>
      </c>
      <c r="Q145" t="s">
        <v>165</v>
      </c>
      <c r="R145">
        <v>14.709344</v>
      </c>
      <c r="S145">
        <v>12.35596</v>
      </c>
    </row>
    <row r="146" spans="1:19">
      <c r="A146" t="s">
        <v>7</v>
      </c>
      <c r="B146" t="s">
        <v>145</v>
      </c>
      <c r="C146" t="s">
        <v>19</v>
      </c>
      <c r="D146" t="s">
        <v>157</v>
      </c>
      <c r="E146" t="s">
        <v>314</v>
      </c>
      <c r="F146" t="s">
        <v>63</v>
      </c>
      <c r="G146" t="s">
        <v>1107</v>
      </c>
      <c r="I146" t="s">
        <v>1099</v>
      </c>
      <c r="J146" t="s">
        <v>420</v>
      </c>
      <c r="K146" t="s">
        <v>6</v>
      </c>
      <c r="L146" t="s">
        <v>409</v>
      </c>
      <c r="M146" t="s">
        <v>141</v>
      </c>
      <c r="N146" t="s">
        <v>7</v>
      </c>
      <c r="O146" t="s">
        <v>145</v>
      </c>
      <c r="P146" t="s">
        <v>21</v>
      </c>
      <c r="Q146" t="s">
        <v>164</v>
      </c>
      <c r="R146">
        <v>14.786073</v>
      </c>
      <c r="S146">
        <v>12.343344</v>
      </c>
    </row>
    <row r="147" spans="1:19">
      <c r="A147" t="s">
        <v>7</v>
      </c>
      <c r="B147" t="s">
        <v>145</v>
      </c>
      <c r="C147" t="s">
        <v>135</v>
      </c>
      <c r="D147" t="s">
        <v>166</v>
      </c>
      <c r="E147" t="s">
        <v>786</v>
      </c>
      <c r="F147" t="s">
        <v>787</v>
      </c>
      <c r="G147" t="s">
        <v>1107</v>
      </c>
      <c r="I147" t="s">
        <v>1099</v>
      </c>
      <c r="J147" t="s">
        <v>420</v>
      </c>
      <c r="K147" t="s">
        <v>6</v>
      </c>
      <c r="L147" t="s">
        <v>409</v>
      </c>
      <c r="M147" t="s">
        <v>141</v>
      </c>
      <c r="N147" t="s">
        <v>7</v>
      </c>
      <c r="O147" t="s">
        <v>145</v>
      </c>
      <c r="P147" t="s">
        <v>135</v>
      </c>
      <c r="Q147" t="s">
        <v>166</v>
      </c>
      <c r="R147">
        <v>14.285223999999999</v>
      </c>
      <c r="S147">
        <v>12.673044000000001</v>
      </c>
    </row>
    <row r="148" spans="1:19">
      <c r="A148" t="s">
        <v>7</v>
      </c>
      <c r="B148" t="s">
        <v>145</v>
      </c>
      <c r="C148" t="s">
        <v>135</v>
      </c>
      <c r="D148" t="s">
        <v>166</v>
      </c>
      <c r="E148" t="s">
        <v>788</v>
      </c>
      <c r="F148" t="s">
        <v>80</v>
      </c>
      <c r="G148" t="s">
        <v>1107</v>
      </c>
      <c r="I148" t="s">
        <v>1099</v>
      </c>
      <c r="J148" t="s">
        <v>420</v>
      </c>
      <c r="K148" t="s">
        <v>6</v>
      </c>
      <c r="L148" t="s">
        <v>409</v>
      </c>
      <c r="M148" t="s">
        <v>141</v>
      </c>
      <c r="N148" t="s">
        <v>7</v>
      </c>
      <c r="O148" t="s">
        <v>145</v>
      </c>
      <c r="P148" t="s">
        <v>21</v>
      </c>
      <c r="Q148" t="s">
        <v>164</v>
      </c>
      <c r="R148">
        <v>14.285223999999999</v>
      </c>
      <c r="S148">
        <v>12.673044000000001</v>
      </c>
    </row>
    <row r="149" spans="1:19">
      <c r="A149" t="s">
        <v>7</v>
      </c>
      <c r="B149" t="s">
        <v>145</v>
      </c>
      <c r="C149" t="s">
        <v>135</v>
      </c>
      <c r="D149" t="s">
        <v>166</v>
      </c>
      <c r="E149" t="s">
        <v>789</v>
      </c>
      <c r="F149" t="s">
        <v>81</v>
      </c>
      <c r="G149" t="s">
        <v>1107</v>
      </c>
      <c r="I149" t="s">
        <v>1099</v>
      </c>
      <c r="J149" t="s">
        <v>420</v>
      </c>
      <c r="K149" t="s">
        <v>6</v>
      </c>
      <c r="L149" t="s">
        <v>409</v>
      </c>
      <c r="M149" t="s">
        <v>141</v>
      </c>
      <c r="N149" t="s">
        <v>7</v>
      </c>
      <c r="O149" t="s">
        <v>145</v>
      </c>
      <c r="P149" t="s">
        <v>135</v>
      </c>
      <c r="Q149" t="s">
        <v>166</v>
      </c>
      <c r="R149">
        <v>14.295385</v>
      </c>
      <c r="S149">
        <v>12.673519000000001</v>
      </c>
    </row>
    <row r="150" spans="1:19">
      <c r="A150" t="s">
        <v>7</v>
      </c>
      <c r="B150" t="s">
        <v>145</v>
      </c>
      <c r="C150" t="s">
        <v>135</v>
      </c>
      <c r="D150" t="s">
        <v>166</v>
      </c>
      <c r="E150" t="s">
        <v>790</v>
      </c>
      <c r="G150" t="s">
        <v>1107</v>
      </c>
      <c r="I150" t="s">
        <v>1099</v>
      </c>
      <c r="J150" t="s">
        <v>420</v>
      </c>
      <c r="K150" t="s">
        <v>6</v>
      </c>
      <c r="L150" t="s">
        <v>409</v>
      </c>
      <c r="M150" t="s">
        <v>141</v>
      </c>
      <c r="N150" t="s">
        <v>7</v>
      </c>
      <c r="O150" t="s">
        <v>145</v>
      </c>
      <c r="P150" t="s">
        <v>135</v>
      </c>
      <c r="Q150" t="s">
        <v>166</v>
      </c>
    </row>
    <row r="151" spans="1:19">
      <c r="A151" t="s">
        <v>7</v>
      </c>
      <c r="B151" t="s">
        <v>145</v>
      </c>
      <c r="C151" t="s">
        <v>135</v>
      </c>
      <c r="D151" t="s">
        <v>166</v>
      </c>
      <c r="E151" t="s">
        <v>791</v>
      </c>
      <c r="G151" t="s">
        <v>1107</v>
      </c>
      <c r="I151" t="s">
        <v>1099</v>
      </c>
      <c r="J151" t="s">
        <v>420</v>
      </c>
      <c r="K151" t="s">
        <v>6</v>
      </c>
      <c r="L151" t="s">
        <v>409</v>
      </c>
      <c r="M151" t="s">
        <v>141</v>
      </c>
      <c r="N151" t="s">
        <v>7</v>
      </c>
      <c r="O151" t="s">
        <v>145</v>
      </c>
      <c r="P151" t="s">
        <v>135</v>
      </c>
      <c r="Q151" t="s">
        <v>166</v>
      </c>
    </row>
    <row r="152" spans="1:19">
      <c r="A152" t="s">
        <v>7</v>
      </c>
      <c r="B152" t="s">
        <v>145</v>
      </c>
      <c r="C152" t="s">
        <v>135</v>
      </c>
      <c r="D152" t="s">
        <v>166</v>
      </c>
      <c r="E152" t="s">
        <v>527</v>
      </c>
      <c r="G152" t="s">
        <v>1107</v>
      </c>
      <c r="I152" t="s">
        <v>1099</v>
      </c>
      <c r="J152" t="s">
        <v>420</v>
      </c>
      <c r="K152" t="s">
        <v>6</v>
      </c>
      <c r="L152" t="s">
        <v>409</v>
      </c>
      <c r="M152" t="s">
        <v>141</v>
      </c>
      <c r="N152" t="s">
        <v>7</v>
      </c>
      <c r="O152" t="s">
        <v>145</v>
      </c>
      <c r="P152" t="s">
        <v>135</v>
      </c>
      <c r="Q152" t="s">
        <v>166</v>
      </c>
    </row>
    <row r="153" spans="1:19">
      <c r="A153" t="s">
        <v>7</v>
      </c>
      <c r="B153" t="s">
        <v>145</v>
      </c>
      <c r="C153" t="s">
        <v>135</v>
      </c>
      <c r="D153" t="s">
        <v>166</v>
      </c>
      <c r="E153" t="s">
        <v>534</v>
      </c>
      <c r="G153" t="s">
        <v>1107</v>
      </c>
      <c r="I153" t="s">
        <v>1099</v>
      </c>
      <c r="J153" t="s">
        <v>420</v>
      </c>
      <c r="K153" t="s">
        <v>6</v>
      </c>
      <c r="L153" t="s">
        <v>409</v>
      </c>
      <c r="M153" t="s">
        <v>141</v>
      </c>
      <c r="N153" t="s">
        <v>7</v>
      </c>
      <c r="O153" t="s">
        <v>145</v>
      </c>
      <c r="P153" t="s">
        <v>135</v>
      </c>
      <c r="Q153" t="s">
        <v>166</v>
      </c>
    </row>
    <row r="154" spans="1:19">
      <c r="A154" t="s">
        <v>7</v>
      </c>
      <c r="B154" t="s">
        <v>145</v>
      </c>
      <c r="C154" t="s">
        <v>135</v>
      </c>
      <c r="D154" t="s">
        <v>166</v>
      </c>
      <c r="E154" t="s">
        <v>536</v>
      </c>
      <c r="G154" t="s">
        <v>1107</v>
      </c>
      <c r="I154" t="s">
        <v>1099</v>
      </c>
      <c r="J154" t="s">
        <v>420</v>
      </c>
      <c r="K154" t="s">
        <v>6</v>
      </c>
      <c r="L154" t="s">
        <v>409</v>
      </c>
      <c r="M154" t="s">
        <v>141</v>
      </c>
      <c r="N154" t="s">
        <v>7</v>
      </c>
      <c r="O154" t="s">
        <v>145</v>
      </c>
      <c r="P154" t="s">
        <v>135</v>
      </c>
      <c r="Q154" t="s">
        <v>166</v>
      </c>
    </row>
    <row r="155" spans="1:19">
      <c r="A155" t="s">
        <v>7</v>
      </c>
      <c r="B155" t="s">
        <v>145</v>
      </c>
      <c r="C155" t="s">
        <v>135</v>
      </c>
      <c r="D155" t="s">
        <v>166</v>
      </c>
      <c r="E155" t="s">
        <v>784</v>
      </c>
      <c r="G155" t="s">
        <v>1107</v>
      </c>
      <c r="I155" t="s">
        <v>1099</v>
      </c>
      <c r="J155" t="s">
        <v>420</v>
      </c>
      <c r="K155" t="s">
        <v>6</v>
      </c>
      <c r="L155" t="s">
        <v>409</v>
      </c>
      <c r="M155" t="s">
        <v>141</v>
      </c>
      <c r="N155" t="s">
        <v>7</v>
      </c>
      <c r="O155" t="s">
        <v>145</v>
      </c>
      <c r="P155" t="s">
        <v>135</v>
      </c>
      <c r="Q155" t="s">
        <v>166</v>
      </c>
    </row>
    <row r="156" spans="1:19">
      <c r="A156" t="s">
        <v>7</v>
      </c>
      <c r="B156" t="s">
        <v>145</v>
      </c>
      <c r="C156" t="s">
        <v>135</v>
      </c>
      <c r="D156" t="s">
        <v>166</v>
      </c>
      <c r="E156" t="s">
        <v>785</v>
      </c>
      <c r="G156" t="s">
        <v>1107</v>
      </c>
      <c r="I156" t="s">
        <v>1099</v>
      </c>
      <c r="J156" t="s">
        <v>420</v>
      </c>
      <c r="K156" t="s">
        <v>6</v>
      </c>
      <c r="L156" t="s">
        <v>409</v>
      </c>
      <c r="M156" t="s">
        <v>141</v>
      </c>
      <c r="N156" t="s">
        <v>7</v>
      </c>
      <c r="O156" t="s">
        <v>145</v>
      </c>
      <c r="P156" t="s">
        <v>135</v>
      </c>
      <c r="Q156" t="s">
        <v>166</v>
      </c>
    </row>
    <row r="157" spans="1:19">
      <c r="A157" t="s">
        <v>7</v>
      </c>
      <c r="B157" t="s">
        <v>145</v>
      </c>
      <c r="C157" t="s">
        <v>135</v>
      </c>
      <c r="D157" t="s">
        <v>166</v>
      </c>
      <c r="E157" t="s">
        <v>530</v>
      </c>
      <c r="G157" t="s">
        <v>1107</v>
      </c>
      <c r="I157" t="s">
        <v>1099</v>
      </c>
      <c r="J157" t="s">
        <v>420</v>
      </c>
      <c r="K157" t="s">
        <v>6</v>
      </c>
      <c r="L157" t="s">
        <v>409</v>
      </c>
      <c r="M157" t="s">
        <v>141</v>
      </c>
      <c r="N157" t="s">
        <v>7</v>
      </c>
      <c r="O157" t="s">
        <v>145</v>
      </c>
      <c r="P157" t="s">
        <v>135</v>
      </c>
      <c r="Q157" t="s">
        <v>166</v>
      </c>
    </row>
    <row r="158" spans="1:19">
      <c r="A158" t="s">
        <v>7</v>
      </c>
      <c r="B158" t="s">
        <v>145</v>
      </c>
      <c r="C158" t="s">
        <v>135</v>
      </c>
      <c r="D158" t="s">
        <v>166</v>
      </c>
      <c r="E158" t="s">
        <v>524</v>
      </c>
      <c r="G158" t="s">
        <v>1107</v>
      </c>
      <c r="I158" t="s">
        <v>1099</v>
      </c>
      <c r="J158" t="s">
        <v>420</v>
      </c>
      <c r="K158" t="s">
        <v>6</v>
      </c>
      <c r="L158" t="s">
        <v>409</v>
      </c>
      <c r="M158" t="s">
        <v>141</v>
      </c>
      <c r="N158" t="s">
        <v>7</v>
      </c>
      <c r="O158" t="s">
        <v>145</v>
      </c>
      <c r="P158" t="s">
        <v>135</v>
      </c>
      <c r="Q158" t="s">
        <v>166</v>
      </c>
    </row>
    <row r="159" spans="1:19">
      <c r="A159" t="s">
        <v>7</v>
      </c>
      <c r="B159" t="s">
        <v>145</v>
      </c>
      <c r="C159" t="s">
        <v>135</v>
      </c>
      <c r="D159" t="s">
        <v>166</v>
      </c>
      <c r="E159" t="s">
        <v>522</v>
      </c>
      <c r="G159" t="s">
        <v>1107</v>
      </c>
      <c r="I159" t="s">
        <v>1099</v>
      </c>
      <c r="J159" t="s">
        <v>420</v>
      </c>
      <c r="K159" t="s">
        <v>6</v>
      </c>
      <c r="L159" t="s">
        <v>409</v>
      </c>
      <c r="M159" t="s">
        <v>141</v>
      </c>
      <c r="N159" t="s">
        <v>7</v>
      </c>
      <c r="O159" t="s">
        <v>145</v>
      </c>
      <c r="P159" t="s">
        <v>135</v>
      </c>
      <c r="Q159" t="s">
        <v>166</v>
      </c>
    </row>
    <row r="160" spans="1:19">
      <c r="A160" t="s">
        <v>7</v>
      </c>
      <c r="B160" t="s">
        <v>145</v>
      </c>
      <c r="C160" t="s">
        <v>135</v>
      </c>
      <c r="D160" t="s">
        <v>166</v>
      </c>
      <c r="E160" t="s">
        <v>523</v>
      </c>
      <c r="G160" t="s">
        <v>1107</v>
      </c>
      <c r="I160" t="s">
        <v>1099</v>
      </c>
      <c r="J160" t="s">
        <v>420</v>
      </c>
      <c r="K160" t="s">
        <v>6</v>
      </c>
      <c r="L160" t="s">
        <v>409</v>
      </c>
      <c r="M160" t="s">
        <v>141</v>
      </c>
      <c r="N160" t="s">
        <v>7</v>
      </c>
      <c r="O160" t="s">
        <v>145</v>
      </c>
      <c r="P160" t="s">
        <v>135</v>
      </c>
      <c r="Q160" t="s">
        <v>166</v>
      </c>
    </row>
    <row r="161" spans="1:19">
      <c r="A161" t="s">
        <v>7</v>
      </c>
      <c r="B161" t="s">
        <v>145</v>
      </c>
      <c r="C161" t="s">
        <v>135</v>
      </c>
      <c r="D161" t="s">
        <v>166</v>
      </c>
      <c r="E161" t="s">
        <v>529</v>
      </c>
      <c r="G161" t="s">
        <v>1107</v>
      </c>
      <c r="I161" t="s">
        <v>1099</v>
      </c>
      <c r="J161" t="s">
        <v>420</v>
      </c>
      <c r="K161" t="s">
        <v>6</v>
      </c>
      <c r="L161" t="s">
        <v>409</v>
      </c>
      <c r="M161" t="s">
        <v>141</v>
      </c>
      <c r="N161" t="s">
        <v>7</v>
      </c>
      <c r="O161" t="s">
        <v>145</v>
      </c>
      <c r="P161" t="s">
        <v>135</v>
      </c>
      <c r="Q161" t="s">
        <v>166</v>
      </c>
    </row>
    <row r="162" spans="1:19">
      <c r="A162" t="s">
        <v>7</v>
      </c>
      <c r="B162" t="s">
        <v>145</v>
      </c>
      <c r="C162" t="s">
        <v>135</v>
      </c>
      <c r="D162" t="s">
        <v>166</v>
      </c>
      <c r="E162" t="s">
        <v>526</v>
      </c>
      <c r="G162" t="s">
        <v>1107</v>
      </c>
      <c r="I162" t="s">
        <v>1099</v>
      </c>
      <c r="J162" t="s">
        <v>420</v>
      </c>
      <c r="K162" t="s">
        <v>6</v>
      </c>
      <c r="L162" t="s">
        <v>409</v>
      </c>
      <c r="M162" t="s">
        <v>141</v>
      </c>
      <c r="N162" t="s">
        <v>7</v>
      </c>
      <c r="O162" t="s">
        <v>145</v>
      </c>
      <c r="P162" t="s">
        <v>135</v>
      </c>
      <c r="Q162" t="s">
        <v>166</v>
      </c>
    </row>
    <row r="163" spans="1:19">
      <c r="A163" t="s">
        <v>7</v>
      </c>
      <c r="B163" t="s">
        <v>145</v>
      </c>
      <c r="C163" t="s">
        <v>135</v>
      </c>
      <c r="D163" t="s">
        <v>166</v>
      </c>
      <c r="E163" t="s">
        <v>525</v>
      </c>
      <c r="G163" t="s">
        <v>1107</v>
      </c>
      <c r="I163" t="s">
        <v>1099</v>
      </c>
      <c r="J163" t="s">
        <v>420</v>
      </c>
      <c r="K163" t="s">
        <v>6</v>
      </c>
      <c r="L163" t="s">
        <v>409</v>
      </c>
      <c r="M163" t="s">
        <v>141</v>
      </c>
      <c r="N163" t="s">
        <v>7</v>
      </c>
      <c r="O163" t="s">
        <v>145</v>
      </c>
      <c r="P163" t="s">
        <v>135</v>
      </c>
      <c r="Q163" t="s">
        <v>166</v>
      </c>
    </row>
    <row r="164" spans="1:19">
      <c r="A164" t="s">
        <v>7</v>
      </c>
      <c r="B164" t="s">
        <v>145</v>
      </c>
      <c r="C164" t="s">
        <v>135</v>
      </c>
      <c r="D164" t="s">
        <v>166</v>
      </c>
      <c r="E164" t="s">
        <v>528</v>
      </c>
      <c r="G164" t="s">
        <v>1107</v>
      </c>
      <c r="I164" t="s">
        <v>1099</v>
      </c>
      <c r="J164" t="s">
        <v>420</v>
      </c>
      <c r="K164" t="s">
        <v>6</v>
      </c>
      <c r="L164" t="s">
        <v>409</v>
      </c>
      <c r="M164" t="s">
        <v>141</v>
      </c>
      <c r="N164" t="s">
        <v>7</v>
      </c>
      <c r="O164" t="s">
        <v>145</v>
      </c>
      <c r="P164" t="s">
        <v>135</v>
      </c>
      <c r="Q164" t="s">
        <v>166</v>
      </c>
    </row>
    <row r="165" spans="1:19">
      <c r="A165" t="s">
        <v>7</v>
      </c>
      <c r="B165" t="s">
        <v>145</v>
      </c>
      <c r="C165" t="s">
        <v>135</v>
      </c>
      <c r="D165" t="s">
        <v>166</v>
      </c>
      <c r="E165" t="s">
        <v>537</v>
      </c>
      <c r="G165" t="s">
        <v>1107</v>
      </c>
      <c r="I165" t="s">
        <v>1099</v>
      </c>
      <c r="J165" t="s">
        <v>420</v>
      </c>
      <c r="K165" t="s">
        <v>6</v>
      </c>
      <c r="L165" t="s">
        <v>409</v>
      </c>
      <c r="M165" t="s">
        <v>141</v>
      </c>
      <c r="N165" t="s">
        <v>7</v>
      </c>
      <c r="O165" t="s">
        <v>145</v>
      </c>
      <c r="P165" t="s">
        <v>135</v>
      </c>
      <c r="Q165" t="s">
        <v>166</v>
      </c>
    </row>
    <row r="166" spans="1:19">
      <c r="A166" t="s">
        <v>7</v>
      </c>
      <c r="B166" t="s">
        <v>145</v>
      </c>
      <c r="C166" t="s">
        <v>135</v>
      </c>
      <c r="D166" t="s">
        <v>166</v>
      </c>
      <c r="E166" t="s">
        <v>230</v>
      </c>
      <c r="F166" t="s">
        <v>535</v>
      </c>
      <c r="G166" t="s">
        <v>1107</v>
      </c>
      <c r="I166" t="s">
        <v>1099</v>
      </c>
      <c r="J166" t="s">
        <v>420</v>
      </c>
      <c r="K166" t="s">
        <v>6</v>
      </c>
      <c r="L166" t="s">
        <v>409</v>
      </c>
      <c r="M166" t="s">
        <v>141</v>
      </c>
      <c r="N166" t="s">
        <v>7</v>
      </c>
      <c r="O166" t="s">
        <v>145</v>
      </c>
      <c r="P166" t="s">
        <v>135</v>
      </c>
      <c r="Q166" t="s">
        <v>166</v>
      </c>
      <c r="R166">
        <v>14.266667</v>
      </c>
      <c r="S166">
        <v>12.633333</v>
      </c>
    </row>
    <row r="167" spans="1:19">
      <c r="A167" t="s">
        <v>7</v>
      </c>
      <c r="B167" t="s">
        <v>145</v>
      </c>
      <c r="C167" t="s">
        <v>135</v>
      </c>
      <c r="D167" t="s">
        <v>166</v>
      </c>
      <c r="E167" t="s">
        <v>230</v>
      </c>
      <c r="F167" t="s">
        <v>535</v>
      </c>
      <c r="G167" t="s">
        <v>1107</v>
      </c>
      <c r="I167" t="s">
        <v>1099</v>
      </c>
      <c r="J167" t="s">
        <v>420</v>
      </c>
      <c r="K167" t="s">
        <v>6</v>
      </c>
      <c r="L167" t="s">
        <v>409</v>
      </c>
      <c r="M167" t="s">
        <v>141</v>
      </c>
      <c r="N167" t="s">
        <v>7</v>
      </c>
      <c r="O167" t="s">
        <v>145</v>
      </c>
      <c r="P167" t="s">
        <v>135</v>
      </c>
      <c r="Q167" t="s">
        <v>166</v>
      </c>
      <c r="R167">
        <v>14.266667</v>
      </c>
      <c r="S167">
        <v>12.633333</v>
      </c>
    </row>
    <row r="168" spans="1:19">
      <c r="A168" t="s">
        <v>7</v>
      </c>
      <c r="B168" t="s">
        <v>145</v>
      </c>
      <c r="C168" t="s">
        <v>135</v>
      </c>
      <c r="D168" t="s">
        <v>166</v>
      </c>
      <c r="E168" t="s">
        <v>532</v>
      </c>
      <c r="F168" t="s">
        <v>533</v>
      </c>
      <c r="G168" t="s">
        <v>1107</v>
      </c>
      <c r="I168" t="s">
        <v>1099</v>
      </c>
      <c r="J168" t="s">
        <v>420</v>
      </c>
      <c r="K168" t="s">
        <v>6</v>
      </c>
      <c r="L168" t="s">
        <v>409</v>
      </c>
      <c r="M168" t="s">
        <v>141</v>
      </c>
      <c r="N168" t="s">
        <v>7</v>
      </c>
      <c r="O168" t="s">
        <v>145</v>
      </c>
      <c r="P168" t="s">
        <v>135</v>
      </c>
      <c r="Q168" t="s">
        <v>166</v>
      </c>
      <c r="R168">
        <v>14.398733</v>
      </c>
      <c r="S168">
        <v>12.603870000000001</v>
      </c>
    </row>
    <row r="169" spans="1:19">
      <c r="A169" t="s">
        <v>7</v>
      </c>
      <c r="B169" t="s">
        <v>145</v>
      </c>
      <c r="C169" t="s">
        <v>135</v>
      </c>
      <c r="D169" t="s">
        <v>166</v>
      </c>
      <c r="E169" t="s">
        <v>531</v>
      </c>
      <c r="F169" t="s">
        <v>231</v>
      </c>
      <c r="G169" t="s">
        <v>1107</v>
      </c>
      <c r="I169" t="s">
        <v>1099</v>
      </c>
      <c r="J169" t="s">
        <v>420</v>
      </c>
      <c r="K169" t="s">
        <v>6</v>
      </c>
      <c r="L169" t="s">
        <v>409</v>
      </c>
      <c r="M169" t="s">
        <v>141</v>
      </c>
      <c r="N169" t="s">
        <v>7</v>
      </c>
      <c r="O169" t="s">
        <v>145</v>
      </c>
      <c r="P169" t="s">
        <v>135</v>
      </c>
      <c r="Q169" t="s">
        <v>166</v>
      </c>
      <c r="R169">
        <v>14.406636000000001</v>
      </c>
      <c r="S169">
        <v>12.581213999999999</v>
      </c>
    </row>
    <row r="170" spans="1:19">
      <c r="A170" t="s">
        <v>7</v>
      </c>
      <c r="B170" t="s">
        <v>145</v>
      </c>
      <c r="C170" t="s">
        <v>135</v>
      </c>
      <c r="D170" t="s">
        <v>166</v>
      </c>
      <c r="E170" t="s">
        <v>109</v>
      </c>
      <c r="F170" t="s">
        <v>538</v>
      </c>
      <c r="G170" t="s">
        <v>1107</v>
      </c>
      <c r="I170" t="s">
        <v>1099</v>
      </c>
      <c r="J170" t="s">
        <v>420</v>
      </c>
      <c r="K170" t="s">
        <v>6</v>
      </c>
      <c r="L170" t="s">
        <v>409</v>
      </c>
      <c r="M170" t="s">
        <v>141</v>
      </c>
      <c r="N170" t="s">
        <v>7</v>
      </c>
      <c r="O170" t="s">
        <v>145</v>
      </c>
      <c r="P170" t="s">
        <v>135</v>
      </c>
      <c r="Q170" t="s">
        <v>166</v>
      </c>
      <c r="R170">
        <v>14.343925</v>
      </c>
      <c r="S170">
        <v>12.373348999999999</v>
      </c>
    </row>
    <row r="171" spans="1:19">
      <c r="A171" t="s">
        <v>7</v>
      </c>
      <c r="B171" t="s">
        <v>145</v>
      </c>
      <c r="C171" t="s">
        <v>135</v>
      </c>
      <c r="D171" t="s">
        <v>166</v>
      </c>
      <c r="E171" t="s">
        <v>268</v>
      </c>
      <c r="F171" t="s">
        <v>267</v>
      </c>
      <c r="G171" t="s">
        <v>1107</v>
      </c>
      <c r="I171" t="s">
        <v>1099</v>
      </c>
      <c r="J171" t="s">
        <v>420</v>
      </c>
      <c r="K171" t="s">
        <v>6</v>
      </c>
      <c r="L171" t="s">
        <v>409</v>
      </c>
      <c r="M171" t="s">
        <v>141</v>
      </c>
      <c r="N171" t="s">
        <v>7</v>
      </c>
      <c r="O171" t="s">
        <v>145</v>
      </c>
      <c r="P171" t="s">
        <v>135</v>
      </c>
      <c r="Q171" t="s">
        <v>166</v>
      </c>
      <c r="R171">
        <v>14.383333</v>
      </c>
      <c r="S171">
        <v>12.45</v>
      </c>
    </row>
    <row r="172" spans="1:19">
      <c r="A172" t="s">
        <v>7</v>
      </c>
      <c r="B172" t="s">
        <v>145</v>
      </c>
      <c r="C172" t="s">
        <v>135</v>
      </c>
      <c r="D172" t="s">
        <v>166</v>
      </c>
      <c r="E172" t="s">
        <v>269</v>
      </c>
      <c r="F172" t="s">
        <v>82</v>
      </c>
      <c r="G172" t="s">
        <v>1107</v>
      </c>
      <c r="I172" t="s">
        <v>1099</v>
      </c>
      <c r="J172" t="s">
        <v>420</v>
      </c>
      <c r="K172" t="s">
        <v>6</v>
      </c>
      <c r="L172" t="s">
        <v>409</v>
      </c>
      <c r="M172" t="s">
        <v>141</v>
      </c>
      <c r="N172" t="s">
        <v>7</v>
      </c>
      <c r="O172" t="s">
        <v>145</v>
      </c>
      <c r="P172" t="s">
        <v>135</v>
      </c>
      <c r="Q172" t="s">
        <v>166</v>
      </c>
      <c r="R172">
        <v>14.354200000000001</v>
      </c>
      <c r="S172">
        <v>12.678259000000001</v>
      </c>
    </row>
    <row r="173" spans="1:19">
      <c r="A173" t="s">
        <v>7</v>
      </c>
      <c r="B173" t="s">
        <v>145</v>
      </c>
      <c r="C173" t="s">
        <v>135</v>
      </c>
      <c r="D173" t="s">
        <v>166</v>
      </c>
      <c r="E173" t="s">
        <v>309</v>
      </c>
      <c r="F173" t="s">
        <v>71</v>
      </c>
      <c r="G173" t="s">
        <v>1107</v>
      </c>
      <c r="I173" t="s">
        <v>1099</v>
      </c>
      <c r="J173" t="s">
        <v>420</v>
      </c>
      <c r="K173" t="s">
        <v>6</v>
      </c>
      <c r="L173" t="s">
        <v>409</v>
      </c>
      <c r="M173" t="s">
        <v>141</v>
      </c>
      <c r="N173" t="s">
        <v>7</v>
      </c>
      <c r="O173" t="s">
        <v>145</v>
      </c>
      <c r="P173" t="s">
        <v>135</v>
      </c>
      <c r="Q173" t="s">
        <v>166</v>
      </c>
      <c r="R173">
        <v>14.280328000000001</v>
      </c>
      <c r="S173">
        <v>12.784606999999999</v>
      </c>
    </row>
    <row r="174" spans="1:19">
      <c r="A174" t="s">
        <v>7</v>
      </c>
      <c r="B174" t="s">
        <v>145</v>
      </c>
      <c r="C174" t="s">
        <v>135</v>
      </c>
      <c r="D174" t="s">
        <v>166</v>
      </c>
      <c r="E174" t="s">
        <v>309</v>
      </c>
      <c r="F174" t="s">
        <v>71</v>
      </c>
      <c r="G174" t="s">
        <v>1107</v>
      </c>
      <c r="I174" t="s">
        <v>1099</v>
      </c>
      <c r="J174" t="s">
        <v>420</v>
      </c>
      <c r="K174" t="s">
        <v>6</v>
      </c>
      <c r="L174" t="s">
        <v>409</v>
      </c>
      <c r="M174" t="s">
        <v>141</v>
      </c>
      <c r="N174" t="s">
        <v>7</v>
      </c>
      <c r="O174" t="s">
        <v>145</v>
      </c>
      <c r="P174" t="s">
        <v>135</v>
      </c>
      <c r="Q174" t="s">
        <v>166</v>
      </c>
      <c r="R174">
        <v>14.280328000000001</v>
      </c>
      <c r="S174">
        <v>12.784606999999999</v>
      </c>
    </row>
    <row r="175" spans="1:19">
      <c r="A175" t="s">
        <v>7</v>
      </c>
      <c r="B175" t="s">
        <v>145</v>
      </c>
      <c r="C175" t="s">
        <v>135</v>
      </c>
      <c r="D175" t="s">
        <v>166</v>
      </c>
      <c r="E175" t="s">
        <v>309</v>
      </c>
      <c r="F175" t="s">
        <v>71</v>
      </c>
      <c r="G175" t="s">
        <v>1107</v>
      </c>
      <c r="I175" t="s">
        <v>1099</v>
      </c>
      <c r="J175" t="s">
        <v>420</v>
      </c>
      <c r="K175" t="s">
        <v>6</v>
      </c>
      <c r="L175" t="s">
        <v>409</v>
      </c>
      <c r="M175" t="s">
        <v>141</v>
      </c>
      <c r="N175" t="s">
        <v>7</v>
      </c>
      <c r="O175" t="s">
        <v>145</v>
      </c>
      <c r="P175" t="s">
        <v>135</v>
      </c>
      <c r="Q175" t="s">
        <v>166</v>
      </c>
      <c r="R175">
        <v>14.280328000000001</v>
      </c>
      <c r="S175">
        <v>12.784606999999999</v>
      </c>
    </row>
    <row r="176" spans="1:19">
      <c r="A176" t="s">
        <v>7</v>
      </c>
      <c r="B176" t="s">
        <v>145</v>
      </c>
      <c r="C176" t="s">
        <v>135</v>
      </c>
      <c r="D176" t="s">
        <v>166</v>
      </c>
      <c r="E176" t="s">
        <v>309</v>
      </c>
      <c r="F176" t="s">
        <v>71</v>
      </c>
      <c r="G176" t="s">
        <v>1107</v>
      </c>
      <c r="I176" t="s">
        <v>1099</v>
      </c>
      <c r="J176" t="s">
        <v>420</v>
      </c>
      <c r="K176" t="s">
        <v>6</v>
      </c>
      <c r="L176" t="s">
        <v>409</v>
      </c>
      <c r="M176" t="s">
        <v>141</v>
      </c>
      <c r="N176" t="s">
        <v>7</v>
      </c>
      <c r="O176" t="s">
        <v>145</v>
      </c>
      <c r="P176" t="s">
        <v>135</v>
      </c>
      <c r="Q176" t="s">
        <v>166</v>
      </c>
      <c r="R176">
        <v>14.280328000000001</v>
      </c>
      <c r="S176">
        <v>12.784606999999999</v>
      </c>
    </row>
    <row r="177" spans="1:19">
      <c r="A177" t="s">
        <v>7</v>
      </c>
      <c r="B177" t="s">
        <v>145</v>
      </c>
      <c r="C177" t="s">
        <v>134</v>
      </c>
      <c r="D177" t="s">
        <v>161</v>
      </c>
      <c r="E177" t="s">
        <v>687</v>
      </c>
      <c r="F177" t="s">
        <v>688</v>
      </c>
      <c r="G177" t="s">
        <v>1107</v>
      </c>
      <c r="I177" t="s">
        <v>1099</v>
      </c>
      <c r="J177" t="s">
        <v>420</v>
      </c>
      <c r="K177" t="s">
        <v>6</v>
      </c>
      <c r="L177" t="s">
        <v>409</v>
      </c>
      <c r="M177" t="s">
        <v>141</v>
      </c>
      <c r="N177" t="s">
        <v>7</v>
      </c>
      <c r="O177" t="s">
        <v>145</v>
      </c>
      <c r="P177" t="s">
        <v>8</v>
      </c>
      <c r="Q177" t="s">
        <v>165</v>
      </c>
      <c r="R177">
        <v>14.931832</v>
      </c>
      <c r="S177">
        <v>12.042977</v>
      </c>
    </row>
    <row r="178" spans="1:19">
      <c r="A178" t="s">
        <v>7</v>
      </c>
      <c r="B178" t="s">
        <v>145</v>
      </c>
      <c r="C178" t="s">
        <v>134</v>
      </c>
      <c r="D178" t="s">
        <v>161</v>
      </c>
      <c r="E178" t="s">
        <v>216</v>
      </c>
      <c r="F178" t="s">
        <v>691</v>
      </c>
      <c r="G178" t="s">
        <v>1107</v>
      </c>
      <c r="I178" t="s">
        <v>1099</v>
      </c>
      <c r="J178" t="s">
        <v>420</v>
      </c>
      <c r="K178" t="s">
        <v>6</v>
      </c>
      <c r="L178" t="s">
        <v>409</v>
      </c>
      <c r="M178" t="s">
        <v>141</v>
      </c>
      <c r="N178" t="s">
        <v>7</v>
      </c>
      <c r="O178" t="s">
        <v>145</v>
      </c>
      <c r="P178" t="s">
        <v>8</v>
      </c>
      <c r="Q178" t="s">
        <v>165</v>
      </c>
      <c r="R178">
        <v>14.617481</v>
      </c>
      <c r="S178">
        <v>11.822212</v>
      </c>
    </row>
    <row r="179" spans="1:19">
      <c r="A179" t="s">
        <v>7</v>
      </c>
      <c r="B179" t="s">
        <v>145</v>
      </c>
      <c r="C179" t="s">
        <v>134</v>
      </c>
      <c r="D179" t="s">
        <v>161</v>
      </c>
      <c r="E179" t="s">
        <v>221</v>
      </c>
      <c r="F179" t="s">
        <v>68</v>
      </c>
      <c r="G179" t="s">
        <v>1107</v>
      </c>
      <c r="I179" t="s">
        <v>1099</v>
      </c>
      <c r="J179" t="s">
        <v>420</v>
      </c>
      <c r="K179" t="s">
        <v>6</v>
      </c>
      <c r="L179" t="s">
        <v>409</v>
      </c>
      <c r="M179" t="s">
        <v>141</v>
      </c>
      <c r="N179" t="s">
        <v>7</v>
      </c>
      <c r="O179" t="s">
        <v>145</v>
      </c>
      <c r="P179" t="s">
        <v>21</v>
      </c>
      <c r="Q179" t="s">
        <v>164</v>
      </c>
      <c r="R179">
        <v>15.050891999999999</v>
      </c>
      <c r="S179">
        <v>12.050858</v>
      </c>
    </row>
    <row r="180" spans="1:19">
      <c r="A180" t="s">
        <v>7</v>
      </c>
      <c r="B180" t="s">
        <v>145</v>
      </c>
      <c r="C180" t="s">
        <v>134</v>
      </c>
      <c r="D180" t="s">
        <v>161</v>
      </c>
      <c r="E180" t="s">
        <v>697</v>
      </c>
      <c r="G180" t="s">
        <v>1107</v>
      </c>
      <c r="I180" t="s">
        <v>1099</v>
      </c>
      <c r="J180" t="s">
        <v>420</v>
      </c>
      <c r="K180" t="s">
        <v>6</v>
      </c>
      <c r="L180" t="s">
        <v>409</v>
      </c>
      <c r="M180" t="s">
        <v>141</v>
      </c>
      <c r="N180" t="s">
        <v>7</v>
      </c>
      <c r="O180" t="s">
        <v>145</v>
      </c>
      <c r="P180" t="s">
        <v>8</v>
      </c>
      <c r="Q180" t="s">
        <v>165</v>
      </c>
    </row>
    <row r="181" spans="1:19">
      <c r="A181" t="s">
        <v>7</v>
      </c>
      <c r="B181" t="s">
        <v>145</v>
      </c>
      <c r="C181" t="s">
        <v>134</v>
      </c>
      <c r="D181" t="s">
        <v>161</v>
      </c>
      <c r="E181" t="s">
        <v>696</v>
      </c>
      <c r="G181" t="s">
        <v>1107</v>
      </c>
      <c r="I181" t="s">
        <v>1099</v>
      </c>
      <c r="J181" t="s">
        <v>420</v>
      </c>
      <c r="K181" t="s">
        <v>6</v>
      </c>
      <c r="L181" t="s">
        <v>409</v>
      </c>
      <c r="M181" t="s">
        <v>141</v>
      </c>
      <c r="N181" t="s">
        <v>7</v>
      </c>
      <c r="O181" t="s">
        <v>145</v>
      </c>
      <c r="P181" t="s">
        <v>21</v>
      </c>
      <c r="Q181" t="s">
        <v>164</v>
      </c>
    </row>
    <row r="182" spans="1:19">
      <c r="A182" t="s">
        <v>7</v>
      </c>
      <c r="B182" t="s">
        <v>145</v>
      </c>
      <c r="C182" t="s">
        <v>134</v>
      </c>
      <c r="D182" t="s">
        <v>161</v>
      </c>
      <c r="E182" t="s">
        <v>196</v>
      </c>
      <c r="G182" t="s">
        <v>1107</v>
      </c>
      <c r="I182" t="s">
        <v>1099</v>
      </c>
      <c r="J182" t="s">
        <v>420</v>
      </c>
      <c r="K182" t="s">
        <v>6</v>
      </c>
      <c r="L182" t="s">
        <v>409</v>
      </c>
      <c r="M182" t="s">
        <v>141</v>
      </c>
      <c r="N182" t="s">
        <v>7</v>
      </c>
      <c r="O182" t="s">
        <v>145</v>
      </c>
      <c r="P182" t="s">
        <v>8</v>
      </c>
      <c r="Q182" t="s">
        <v>165</v>
      </c>
    </row>
    <row r="183" spans="1:19">
      <c r="A183" t="s">
        <v>7</v>
      </c>
      <c r="B183" t="s">
        <v>145</v>
      </c>
      <c r="C183" t="s">
        <v>134</v>
      </c>
      <c r="D183" t="s">
        <v>161</v>
      </c>
      <c r="E183" t="s">
        <v>197</v>
      </c>
      <c r="G183" t="s">
        <v>1107</v>
      </c>
      <c r="I183" t="s">
        <v>1099</v>
      </c>
      <c r="J183" t="s">
        <v>420</v>
      </c>
      <c r="K183" t="s">
        <v>6</v>
      </c>
      <c r="L183" t="s">
        <v>409</v>
      </c>
      <c r="M183" t="s">
        <v>141</v>
      </c>
      <c r="N183" t="s">
        <v>7</v>
      </c>
      <c r="O183" t="s">
        <v>145</v>
      </c>
      <c r="P183" t="s">
        <v>8</v>
      </c>
      <c r="Q183" t="s">
        <v>165</v>
      </c>
    </row>
    <row r="184" spans="1:19">
      <c r="A184" t="s">
        <v>7</v>
      </c>
      <c r="B184" t="s">
        <v>145</v>
      </c>
      <c r="C184" t="s">
        <v>134</v>
      </c>
      <c r="D184" t="s">
        <v>161</v>
      </c>
      <c r="E184" t="s">
        <v>198</v>
      </c>
      <c r="G184" t="s">
        <v>1107</v>
      </c>
      <c r="I184" t="s">
        <v>1099</v>
      </c>
      <c r="J184" t="s">
        <v>420</v>
      </c>
      <c r="K184" t="s">
        <v>6</v>
      </c>
      <c r="L184" t="s">
        <v>409</v>
      </c>
      <c r="M184" t="s">
        <v>141</v>
      </c>
      <c r="N184" t="s">
        <v>7</v>
      </c>
      <c r="O184" t="s">
        <v>145</v>
      </c>
      <c r="P184" t="s">
        <v>8</v>
      </c>
      <c r="Q184" t="s">
        <v>165</v>
      </c>
    </row>
    <row r="185" spans="1:19">
      <c r="A185" t="s">
        <v>7</v>
      </c>
      <c r="B185" t="s">
        <v>145</v>
      </c>
      <c r="C185" t="s">
        <v>134</v>
      </c>
      <c r="D185" t="s">
        <v>161</v>
      </c>
      <c r="E185" t="s">
        <v>694</v>
      </c>
      <c r="F185" t="s">
        <v>695</v>
      </c>
      <c r="G185" t="s">
        <v>1107</v>
      </c>
      <c r="I185" t="s">
        <v>1099</v>
      </c>
      <c r="J185" t="s">
        <v>420</v>
      </c>
      <c r="K185" t="s">
        <v>6</v>
      </c>
      <c r="L185" t="s">
        <v>409</v>
      </c>
      <c r="M185" t="s">
        <v>141</v>
      </c>
      <c r="N185" t="s">
        <v>7</v>
      </c>
      <c r="O185" t="s">
        <v>145</v>
      </c>
      <c r="P185" t="s">
        <v>8</v>
      </c>
      <c r="Q185" t="s">
        <v>165</v>
      </c>
      <c r="R185">
        <v>14.996103</v>
      </c>
      <c r="S185">
        <v>11.364731000000001</v>
      </c>
    </row>
    <row r="186" spans="1:19">
      <c r="A186" t="s">
        <v>7</v>
      </c>
      <c r="B186" t="s">
        <v>145</v>
      </c>
      <c r="C186" t="s">
        <v>134</v>
      </c>
      <c r="D186" t="s">
        <v>161</v>
      </c>
      <c r="E186" t="s">
        <v>243</v>
      </c>
      <c r="F186" t="s">
        <v>69</v>
      </c>
      <c r="G186" t="s">
        <v>1107</v>
      </c>
      <c r="I186" t="s">
        <v>1099</v>
      </c>
      <c r="J186" t="s">
        <v>420</v>
      </c>
      <c r="K186" t="s">
        <v>6</v>
      </c>
      <c r="L186" t="s">
        <v>409</v>
      </c>
      <c r="M186" t="s">
        <v>141</v>
      </c>
      <c r="N186" t="s">
        <v>7</v>
      </c>
      <c r="O186" t="s">
        <v>145</v>
      </c>
      <c r="P186" t="s">
        <v>21</v>
      </c>
      <c r="Q186" t="s">
        <v>164</v>
      </c>
      <c r="R186">
        <v>15.016904</v>
      </c>
      <c r="S186">
        <v>12.080166999999999</v>
      </c>
    </row>
    <row r="187" spans="1:19">
      <c r="A187" t="s">
        <v>7</v>
      </c>
      <c r="B187" t="s">
        <v>145</v>
      </c>
      <c r="C187" t="s">
        <v>134</v>
      </c>
      <c r="D187" t="s">
        <v>161</v>
      </c>
      <c r="E187" t="s">
        <v>246</v>
      </c>
      <c r="F187" t="s">
        <v>70</v>
      </c>
      <c r="G187" t="s">
        <v>1107</v>
      </c>
      <c r="I187" t="s">
        <v>1099</v>
      </c>
      <c r="J187" t="s">
        <v>420</v>
      </c>
      <c r="K187" t="s">
        <v>6</v>
      </c>
      <c r="L187" t="s">
        <v>409</v>
      </c>
      <c r="M187" t="s">
        <v>141</v>
      </c>
      <c r="N187" t="s">
        <v>7</v>
      </c>
      <c r="O187" t="s">
        <v>145</v>
      </c>
      <c r="P187" t="s">
        <v>8</v>
      </c>
      <c r="Q187" t="s">
        <v>165</v>
      </c>
      <c r="R187">
        <v>15.01591</v>
      </c>
      <c r="S187">
        <v>12.050103999999999</v>
      </c>
    </row>
    <row r="188" spans="1:19">
      <c r="A188" t="s">
        <v>7</v>
      </c>
      <c r="B188" t="s">
        <v>145</v>
      </c>
      <c r="C188" t="s">
        <v>134</v>
      </c>
      <c r="D188" t="s">
        <v>161</v>
      </c>
      <c r="E188" t="s">
        <v>673</v>
      </c>
      <c r="F188" t="s">
        <v>674</v>
      </c>
      <c r="G188" t="s">
        <v>1107</v>
      </c>
      <c r="I188" t="s">
        <v>1099</v>
      </c>
      <c r="J188" t="s">
        <v>420</v>
      </c>
      <c r="K188" t="s">
        <v>6</v>
      </c>
      <c r="L188" t="s">
        <v>409</v>
      </c>
      <c r="M188" t="s">
        <v>141</v>
      </c>
      <c r="N188" t="s">
        <v>7</v>
      </c>
      <c r="O188" t="s">
        <v>145</v>
      </c>
      <c r="P188" t="s">
        <v>8</v>
      </c>
      <c r="Q188" t="s">
        <v>165</v>
      </c>
      <c r="R188">
        <v>14.933332999999999</v>
      </c>
      <c r="S188">
        <v>12.083333</v>
      </c>
    </row>
    <row r="189" spans="1:19">
      <c r="A189" t="s">
        <v>7</v>
      </c>
      <c r="B189" t="s">
        <v>145</v>
      </c>
      <c r="C189" t="s">
        <v>134</v>
      </c>
      <c r="D189" t="s">
        <v>161</v>
      </c>
      <c r="E189" t="s">
        <v>673</v>
      </c>
      <c r="F189" t="s">
        <v>674</v>
      </c>
      <c r="G189" t="s">
        <v>1107</v>
      </c>
      <c r="I189" t="s">
        <v>1099</v>
      </c>
      <c r="J189" t="s">
        <v>420</v>
      </c>
      <c r="K189" t="s">
        <v>6</v>
      </c>
      <c r="L189" t="s">
        <v>409</v>
      </c>
      <c r="M189" t="s">
        <v>141</v>
      </c>
      <c r="N189" t="s">
        <v>7</v>
      </c>
      <c r="O189" t="s">
        <v>145</v>
      </c>
      <c r="P189" t="s">
        <v>21</v>
      </c>
      <c r="Q189" t="s">
        <v>164</v>
      </c>
      <c r="R189">
        <v>14.933332999999999</v>
      </c>
      <c r="S189">
        <v>12.083333</v>
      </c>
    </row>
    <row r="190" spans="1:19">
      <c r="A190" t="s">
        <v>7</v>
      </c>
      <c r="B190" t="s">
        <v>145</v>
      </c>
      <c r="C190" t="s">
        <v>134</v>
      </c>
      <c r="D190" t="s">
        <v>161</v>
      </c>
      <c r="E190" t="s">
        <v>675</v>
      </c>
      <c r="F190" t="s">
        <v>676</v>
      </c>
      <c r="G190" t="s">
        <v>1107</v>
      </c>
      <c r="I190" t="s">
        <v>1099</v>
      </c>
      <c r="J190" t="s">
        <v>420</v>
      </c>
      <c r="K190" t="s">
        <v>6</v>
      </c>
      <c r="L190" t="s">
        <v>409</v>
      </c>
      <c r="M190" t="s">
        <v>141</v>
      </c>
      <c r="N190" t="s">
        <v>7</v>
      </c>
      <c r="O190" t="s">
        <v>145</v>
      </c>
      <c r="P190" t="s">
        <v>21</v>
      </c>
      <c r="Q190" t="s">
        <v>164</v>
      </c>
      <c r="R190">
        <v>14.933332999999999</v>
      </c>
      <c r="S190">
        <v>12.083333</v>
      </c>
    </row>
    <row r="191" spans="1:19">
      <c r="A191" t="s">
        <v>7</v>
      </c>
      <c r="B191" t="s">
        <v>145</v>
      </c>
      <c r="C191" t="s">
        <v>134</v>
      </c>
      <c r="D191" t="s">
        <v>161</v>
      </c>
      <c r="E191" t="s">
        <v>685</v>
      </c>
      <c r="F191" t="s">
        <v>686</v>
      </c>
      <c r="G191" t="s">
        <v>1107</v>
      </c>
      <c r="I191" t="s">
        <v>1099</v>
      </c>
      <c r="J191" t="s">
        <v>420</v>
      </c>
      <c r="K191" t="s">
        <v>6</v>
      </c>
      <c r="L191" t="s">
        <v>409</v>
      </c>
      <c r="M191" t="s">
        <v>141</v>
      </c>
      <c r="N191" t="s">
        <v>7</v>
      </c>
      <c r="O191" t="s">
        <v>145</v>
      </c>
      <c r="P191" t="s">
        <v>8</v>
      </c>
      <c r="Q191" t="s">
        <v>165</v>
      </c>
      <c r="R191">
        <v>14.576646999999999</v>
      </c>
      <c r="S191">
        <v>12.69731</v>
      </c>
    </row>
    <row r="192" spans="1:19">
      <c r="A192" t="s">
        <v>7</v>
      </c>
      <c r="B192" t="s">
        <v>145</v>
      </c>
      <c r="C192" t="s">
        <v>134</v>
      </c>
      <c r="D192" t="s">
        <v>161</v>
      </c>
      <c r="E192" t="s">
        <v>692</v>
      </c>
      <c r="F192" t="s">
        <v>693</v>
      </c>
      <c r="G192" t="s">
        <v>1107</v>
      </c>
      <c r="I192" t="s">
        <v>1099</v>
      </c>
      <c r="J192" t="s">
        <v>420</v>
      </c>
      <c r="K192" t="s">
        <v>6</v>
      </c>
      <c r="L192" t="s">
        <v>409</v>
      </c>
      <c r="M192" t="s">
        <v>141</v>
      </c>
      <c r="N192" t="s">
        <v>7</v>
      </c>
      <c r="O192" t="s">
        <v>145</v>
      </c>
      <c r="P192" t="s">
        <v>21</v>
      </c>
      <c r="Q192" t="s">
        <v>164</v>
      </c>
      <c r="R192">
        <v>14.933332999999999</v>
      </c>
      <c r="S192">
        <v>12.083333</v>
      </c>
    </row>
    <row r="193" spans="1:19">
      <c r="A193" t="s">
        <v>7</v>
      </c>
      <c r="B193" t="s">
        <v>145</v>
      </c>
      <c r="C193" t="s">
        <v>134</v>
      </c>
      <c r="D193" t="s">
        <v>161</v>
      </c>
      <c r="E193" t="s">
        <v>689</v>
      </c>
      <c r="F193" t="s">
        <v>690</v>
      </c>
      <c r="G193" t="s">
        <v>1107</v>
      </c>
      <c r="I193" t="s">
        <v>1099</v>
      </c>
      <c r="J193" t="s">
        <v>420</v>
      </c>
      <c r="K193" t="s">
        <v>6</v>
      </c>
      <c r="L193" t="s">
        <v>409</v>
      </c>
      <c r="M193" t="s">
        <v>141</v>
      </c>
      <c r="N193" t="s">
        <v>7</v>
      </c>
      <c r="O193" t="s">
        <v>145</v>
      </c>
      <c r="P193" t="s">
        <v>8</v>
      </c>
      <c r="Q193" t="s">
        <v>165</v>
      </c>
      <c r="R193">
        <v>14.961128</v>
      </c>
      <c r="S193">
        <v>12.089366</v>
      </c>
    </row>
    <row r="194" spans="1:19">
      <c r="A194" t="s">
        <v>7</v>
      </c>
      <c r="B194" t="s">
        <v>145</v>
      </c>
      <c r="C194" t="s">
        <v>134</v>
      </c>
      <c r="D194" t="s">
        <v>161</v>
      </c>
      <c r="E194" t="s">
        <v>286</v>
      </c>
      <c r="F194" t="s">
        <v>684</v>
      </c>
      <c r="G194" t="s">
        <v>1107</v>
      </c>
      <c r="I194" t="s">
        <v>1099</v>
      </c>
      <c r="J194" t="s">
        <v>420</v>
      </c>
      <c r="K194" t="s">
        <v>6</v>
      </c>
      <c r="L194" t="s">
        <v>409</v>
      </c>
      <c r="M194" t="s">
        <v>141</v>
      </c>
      <c r="N194" t="s">
        <v>7</v>
      </c>
      <c r="O194" t="s">
        <v>145</v>
      </c>
      <c r="P194" t="s">
        <v>21</v>
      </c>
      <c r="Q194" t="s">
        <v>164</v>
      </c>
      <c r="R194">
        <v>14.987880000000001</v>
      </c>
      <c r="S194">
        <v>12.083152</v>
      </c>
    </row>
    <row r="195" spans="1:19">
      <c r="A195" t="s">
        <v>7</v>
      </c>
      <c r="B195" t="s">
        <v>145</v>
      </c>
      <c r="C195" t="s">
        <v>134</v>
      </c>
      <c r="D195" t="s">
        <v>161</v>
      </c>
      <c r="E195" t="s">
        <v>289</v>
      </c>
      <c r="F195" t="s">
        <v>679</v>
      </c>
      <c r="G195" t="s">
        <v>1107</v>
      </c>
      <c r="I195" t="s">
        <v>1099</v>
      </c>
      <c r="J195" t="s">
        <v>420</v>
      </c>
      <c r="K195" t="s">
        <v>6</v>
      </c>
      <c r="L195" t="s">
        <v>409</v>
      </c>
      <c r="M195" t="s">
        <v>141</v>
      </c>
      <c r="N195" t="s">
        <v>7</v>
      </c>
      <c r="O195" t="s">
        <v>145</v>
      </c>
      <c r="P195" t="s">
        <v>21</v>
      </c>
      <c r="Q195" t="s">
        <v>164</v>
      </c>
      <c r="R195">
        <v>14.575552999999999</v>
      </c>
      <c r="S195">
        <v>12.478358</v>
      </c>
    </row>
    <row r="196" spans="1:19">
      <c r="A196" t="s">
        <v>7</v>
      </c>
      <c r="B196" t="s">
        <v>145</v>
      </c>
      <c r="C196" t="s">
        <v>134</v>
      </c>
      <c r="D196" t="s">
        <v>161</v>
      </c>
      <c r="E196" t="s">
        <v>290</v>
      </c>
      <c r="F196" t="s">
        <v>671</v>
      </c>
      <c r="G196" t="s">
        <v>1107</v>
      </c>
      <c r="I196" t="s">
        <v>1078</v>
      </c>
      <c r="J196" t="s">
        <v>420</v>
      </c>
      <c r="K196" t="s">
        <v>6</v>
      </c>
      <c r="L196" t="s">
        <v>409</v>
      </c>
      <c r="M196" t="s">
        <v>141</v>
      </c>
      <c r="N196" t="s">
        <v>7</v>
      </c>
      <c r="O196" t="s">
        <v>145</v>
      </c>
      <c r="P196" t="s">
        <v>8</v>
      </c>
      <c r="Q196" t="s">
        <v>165</v>
      </c>
      <c r="R196">
        <v>14.987398000000001</v>
      </c>
      <c r="S196">
        <v>12.006472</v>
      </c>
    </row>
    <row r="197" spans="1:19">
      <c r="A197" t="s">
        <v>7</v>
      </c>
      <c r="B197" t="s">
        <v>145</v>
      </c>
      <c r="C197" t="s">
        <v>134</v>
      </c>
      <c r="D197" t="s">
        <v>161</v>
      </c>
      <c r="E197" t="s">
        <v>682</v>
      </c>
      <c r="F197" t="s">
        <v>683</v>
      </c>
      <c r="G197" t="s">
        <v>1107</v>
      </c>
      <c r="I197" t="s">
        <v>1099</v>
      </c>
      <c r="J197" t="s">
        <v>420</v>
      </c>
      <c r="K197" t="s">
        <v>6</v>
      </c>
      <c r="L197" t="s">
        <v>409</v>
      </c>
      <c r="M197" t="s">
        <v>141</v>
      </c>
      <c r="N197" t="s">
        <v>7</v>
      </c>
      <c r="O197" t="s">
        <v>145</v>
      </c>
      <c r="P197" t="s">
        <v>8</v>
      </c>
      <c r="Q197" t="s">
        <v>165</v>
      </c>
      <c r="R197">
        <v>14.704385</v>
      </c>
      <c r="S197">
        <v>10.996923000000001</v>
      </c>
    </row>
    <row r="198" spans="1:19">
      <c r="A198" t="s">
        <v>7</v>
      </c>
      <c r="B198" t="s">
        <v>145</v>
      </c>
      <c r="C198" t="s">
        <v>134</v>
      </c>
      <c r="D198" t="s">
        <v>161</v>
      </c>
      <c r="E198" t="s">
        <v>680</v>
      </c>
      <c r="F198" t="s">
        <v>681</v>
      </c>
      <c r="G198" t="s">
        <v>1107</v>
      </c>
      <c r="I198" t="s">
        <v>1099</v>
      </c>
      <c r="J198" t="s">
        <v>420</v>
      </c>
      <c r="K198" t="s">
        <v>6</v>
      </c>
      <c r="L198" t="s">
        <v>409</v>
      </c>
      <c r="M198" t="s">
        <v>141</v>
      </c>
      <c r="N198" t="s">
        <v>7</v>
      </c>
      <c r="O198" t="s">
        <v>145</v>
      </c>
      <c r="P198" t="s">
        <v>8</v>
      </c>
      <c r="Q198" t="s">
        <v>165</v>
      </c>
      <c r="R198">
        <v>14.933334</v>
      </c>
      <c r="S198">
        <v>11.945264</v>
      </c>
    </row>
    <row r="199" spans="1:19">
      <c r="A199" t="s">
        <v>7</v>
      </c>
      <c r="B199" t="s">
        <v>145</v>
      </c>
      <c r="C199" t="s">
        <v>134</v>
      </c>
      <c r="D199" t="s">
        <v>161</v>
      </c>
      <c r="E199" t="s">
        <v>677</v>
      </c>
      <c r="F199" t="s">
        <v>678</v>
      </c>
      <c r="G199" t="s">
        <v>1107</v>
      </c>
      <c r="I199" t="s">
        <v>1099</v>
      </c>
      <c r="J199" t="s">
        <v>420</v>
      </c>
      <c r="K199" t="s">
        <v>6</v>
      </c>
      <c r="L199" t="s">
        <v>409</v>
      </c>
      <c r="M199" t="s">
        <v>141</v>
      </c>
      <c r="N199" t="s">
        <v>7</v>
      </c>
      <c r="O199" t="s">
        <v>145</v>
      </c>
      <c r="P199" t="s">
        <v>8</v>
      </c>
      <c r="Q199" t="s">
        <v>165</v>
      </c>
      <c r="R199">
        <v>14.656962</v>
      </c>
      <c r="S199">
        <v>12.499789</v>
      </c>
    </row>
    <row r="200" spans="1:19">
      <c r="A200" t="s">
        <v>7</v>
      </c>
      <c r="B200" t="s">
        <v>145</v>
      </c>
      <c r="C200" t="s">
        <v>32</v>
      </c>
      <c r="D200" t="s">
        <v>162</v>
      </c>
      <c r="E200" t="s">
        <v>670</v>
      </c>
      <c r="G200" t="s">
        <v>1107</v>
      </c>
      <c r="I200" t="s">
        <v>1099</v>
      </c>
      <c r="J200" t="s">
        <v>420</v>
      </c>
      <c r="K200" t="s">
        <v>6</v>
      </c>
      <c r="L200" t="s">
        <v>409</v>
      </c>
      <c r="M200" t="s">
        <v>141</v>
      </c>
      <c r="N200" t="s">
        <v>7</v>
      </c>
      <c r="O200" t="s">
        <v>145</v>
      </c>
      <c r="P200" t="s">
        <v>32</v>
      </c>
      <c r="Q200" t="s">
        <v>162</v>
      </c>
    </row>
    <row r="201" spans="1:19">
      <c r="A201" t="s">
        <v>7</v>
      </c>
      <c r="B201" t="s">
        <v>145</v>
      </c>
      <c r="C201" t="s">
        <v>32</v>
      </c>
      <c r="D201" t="s">
        <v>162</v>
      </c>
      <c r="E201" t="s">
        <v>227</v>
      </c>
      <c r="F201" t="s">
        <v>60</v>
      </c>
      <c r="G201" t="s">
        <v>1108</v>
      </c>
      <c r="H201" t="s">
        <v>672</v>
      </c>
      <c r="I201" t="s">
        <v>1099</v>
      </c>
      <c r="J201" t="s">
        <v>420</v>
      </c>
      <c r="K201" t="s">
        <v>6</v>
      </c>
      <c r="L201" t="s">
        <v>409</v>
      </c>
      <c r="M201" t="s">
        <v>141</v>
      </c>
      <c r="N201" t="s">
        <v>7</v>
      </c>
      <c r="O201" t="s">
        <v>145</v>
      </c>
      <c r="P201" t="s">
        <v>32</v>
      </c>
      <c r="Q201" t="s">
        <v>162</v>
      </c>
      <c r="R201">
        <v>14.723382000000001</v>
      </c>
      <c r="S201">
        <v>12.139982</v>
      </c>
    </row>
    <row r="202" spans="1:19">
      <c r="A202" t="s">
        <v>7</v>
      </c>
      <c r="B202" t="s">
        <v>145</v>
      </c>
      <c r="C202" t="s">
        <v>32</v>
      </c>
      <c r="D202" t="s">
        <v>162</v>
      </c>
      <c r="E202" t="s">
        <v>240</v>
      </c>
      <c r="F202" t="s">
        <v>65</v>
      </c>
      <c r="G202" t="s">
        <v>1107</v>
      </c>
      <c r="I202" t="s">
        <v>1099</v>
      </c>
      <c r="J202" t="s">
        <v>420</v>
      </c>
      <c r="K202" t="s">
        <v>6</v>
      </c>
      <c r="L202" t="s">
        <v>409</v>
      </c>
      <c r="M202" t="s">
        <v>141</v>
      </c>
      <c r="N202" t="s">
        <v>7</v>
      </c>
      <c r="O202" t="s">
        <v>145</v>
      </c>
      <c r="P202" t="s">
        <v>32</v>
      </c>
      <c r="Q202" t="s">
        <v>162</v>
      </c>
      <c r="R202">
        <v>14.670712</v>
      </c>
      <c r="S202">
        <v>12.062627000000001</v>
      </c>
    </row>
    <row r="203" spans="1:19">
      <c r="A203" t="s">
        <v>7</v>
      </c>
      <c r="B203" t="s">
        <v>145</v>
      </c>
      <c r="C203" t="s">
        <v>32</v>
      </c>
      <c r="D203" t="s">
        <v>162</v>
      </c>
      <c r="E203" t="s">
        <v>250</v>
      </c>
      <c r="F203" t="s">
        <v>249</v>
      </c>
      <c r="G203" t="s">
        <v>1107</v>
      </c>
      <c r="I203" t="s">
        <v>1099</v>
      </c>
      <c r="J203" t="s">
        <v>420</v>
      </c>
      <c r="K203" t="s">
        <v>6</v>
      </c>
      <c r="L203" t="s">
        <v>409</v>
      </c>
      <c r="M203" t="s">
        <v>141</v>
      </c>
      <c r="N203" t="s">
        <v>27</v>
      </c>
      <c r="O203" t="s">
        <v>148</v>
      </c>
      <c r="P203" t="s">
        <v>28</v>
      </c>
      <c r="Q203" t="s">
        <v>179</v>
      </c>
      <c r="R203">
        <v>14.972778</v>
      </c>
      <c r="S203">
        <v>11.750556</v>
      </c>
    </row>
    <row r="204" spans="1:19">
      <c r="A204" t="s">
        <v>7</v>
      </c>
      <c r="B204" t="s">
        <v>145</v>
      </c>
      <c r="C204" t="s">
        <v>32</v>
      </c>
      <c r="D204" t="s">
        <v>162</v>
      </c>
      <c r="E204" t="s">
        <v>669</v>
      </c>
      <c r="F204" t="s">
        <v>66</v>
      </c>
      <c r="G204" t="s">
        <v>1107</v>
      </c>
      <c r="I204" t="s">
        <v>1099</v>
      </c>
      <c r="J204" t="s">
        <v>420</v>
      </c>
      <c r="K204" t="s">
        <v>6</v>
      </c>
      <c r="L204" t="s">
        <v>409</v>
      </c>
      <c r="M204" t="s">
        <v>141</v>
      </c>
      <c r="N204" t="s">
        <v>7</v>
      </c>
      <c r="O204" t="s">
        <v>145</v>
      </c>
      <c r="P204" t="s">
        <v>21</v>
      </c>
      <c r="Q204" t="s">
        <v>164</v>
      </c>
      <c r="R204">
        <v>15.10285</v>
      </c>
      <c r="S204">
        <v>11.779336000000001</v>
      </c>
    </row>
    <row r="205" spans="1:19">
      <c r="A205" t="s">
        <v>7</v>
      </c>
      <c r="B205" t="s">
        <v>145</v>
      </c>
      <c r="C205" t="s">
        <v>32</v>
      </c>
      <c r="D205" t="s">
        <v>162</v>
      </c>
      <c r="E205" t="s">
        <v>669</v>
      </c>
      <c r="F205" t="s">
        <v>66</v>
      </c>
      <c r="G205" t="s">
        <v>1107</v>
      </c>
      <c r="I205" t="s">
        <v>1078</v>
      </c>
      <c r="J205" t="s">
        <v>420</v>
      </c>
      <c r="K205" t="s">
        <v>6</v>
      </c>
      <c r="L205" t="s">
        <v>409</v>
      </c>
      <c r="M205" t="s">
        <v>141</v>
      </c>
      <c r="N205" t="s">
        <v>7</v>
      </c>
      <c r="O205" t="s">
        <v>145</v>
      </c>
      <c r="P205" t="s">
        <v>32</v>
      </c>
      <c r="Q205" t="s">
        <v>162</v>
      </c>
      <c r="R205">
        <v>15.10285</v>
      </c>
      <c r="S205">
        <v>11.779336000000001</v>
      </c>
    </row>
    <row r="206" spans="1:19">
      <c r="A206" t="s">
        <v>7</v>
      </c>
      <c r="B206" t="s">
        <v>145</v>
      </c>
      <c r="C206" t="s">
        <v>32</v>
      </c>
      <c r="D206" t="s">
        <v>162</v>
      </c>
      <c r="E206" t="s">
        <v>290</v>
      </c>
      <c r="F206" t="s">
        <v>671</v>
      </c>
      <c r="G206" t="s">
        <v>1107</v>
      </c>
      <c r="I206" t="s">
        <v>1099</v>
      </c>
      <c r="J206" t="s">
        <v>420</v>
      </c>
      <c r="K206" t="s">
        <v>6</v>
      </c>
      <c r="L206" t="s">
        <v>409</v>
      </c>
      <c r="M206" t="s">
        <v>141</v>
      </c>
      <c r="N206" t="s">
        <v>27</v>
      </c>
      <c r="O206" t="s">
        <v>148</v>
      </c>
      <c r="P206" t="s">
        <v>28</v>
      </c>
      <c r="Q206" t="s">
        <v>179</v>
      </c>
      <c r="R206">
        <v>14.987398000000001</v>
      </c>
      <c r="S206">
        <v>12.006472</v>
      </c>
    </row>
    <row r="207" spans="1:19">
      <c r="A207" t="s">
        <v>7</v>
      </c>
      <c r="B207" t="s">
        <v>145</v>
      </c>
      <c r="C207" t="s">
        <v>8</v>
      </c>
      <c r="D207" t="s">
        <v>165</v>
      </c>
      <c r="E207" t="s">
        <v>215</v>
      </c>
      <c r="F207" t="s">
        <v>73</v>
      </c>
      <c r="G207" t="s">
        <v>1108</v>
      </c>
      <c r="H207" t="s">
        <v>587</v>
      </c>
      <c r="I207" t="s">
        <v>1099</v>
      </c>
      <c r="J207" t="s">
        <v>420</v>
      </c>
      <c r="K207" t="s">
        <v>6</v>
      </c>
      <c r="L207" t="s">
        <v>409</v>
      </c>
      <c r="M207" t="s">
        <v>141</v>
      </c>
      <c r="N207" t="s">
        <v>7</v>
      </c>
      <c r="O207" t="s">
        <v>145</v>
      </c>
      <c r="P207" t="s">
        <v>8</v>
      </c>
      <c r="Q207" t="s">
        <v>165</v>
      </c>
      <c r="R207">
        <v>14.654289</v>
      </c>
      <c r="S207">
        <v>12.219792999999999</v>
      </c>
    </row>
    <row r="208" spans="1:19">
      <c r="A208" t="s">
        <v>7</v>
      </c>
      <c r="B208" t="s">
        <v>145</v>
      </c>
      <c r="C208" t="s">
        <v>8</v>
      </c>
      <c r="D208" t="s">
        <v>165</v>
      </c>
      <c r="E208" t="s">
        <v>592</v>
      </c>
      <c r="F208" t="s">
        <v>593</v>
      </c>
      <c r="G208" t="s">
        <v>1108</v>
      </c>
      <c r="I208" t="s">
        <v>1099</v>
      </c>
      <c r="J208" t="s">
        <v>420</v>
      </c>
      <c r="K208" t="s">
        <v>6</v>
      </c>
      <c r="L208" t="s">
        <v>409</v>
      </c>
      <c r="M208" t="s">
        <v>141</v>
      </c>
      <c r="N208" t="s">
        <v>7</v>
      </c>
      <c r="O208" t="s">
        <v>145</v>
      </c>
      <c r="P208" t="s">
        <v>8</v>
      </c>
      <c r="Q208" t="s">
        <v>165</v>
      </c>
      <c r="R208">
        <v>14.539781</v>
      </c>
      <c r="S208">
        <v>12.373485000000001</v>
      </c>
    </row>
    <row r="209" spans="1:19">
      <c r="A209" t="s">
        <v>7</v>
      </c>
      <c r="B209" t="s">
        <v>145</v>
      </c>
      <c r="C209" t="s">
        <v>8</v>
      </c>
      <c r="D209" t="s">
        <v>165</v>
      </c>
      <c r="E209" t="s">
        <v>592</v>
      </c>
      <c r="F209" t="s">
        <v>593</v>
      </c>
      <c r="G209" t="s">
        <v>1107</v>
      </c>
      <c r="I209" t="s">
        <v>1099</v>
      </c>
      <c r="J209" t="s">
        <v>420</v>
      </c>
      <c r="K209" t="s">
        <v>6</v>
      </c>
      <c r="L209" t="s">
        <v>409</v>
      </c>
      <c r="M209" t="s">
        <v>141</v>
      </c>
      <c r="N209" t="s">
        <v>7</v>
      </c>
      <c r="O209" t="s">
        <v>145</v>
      </c>
      <c r="P209" t="s">
        <v>8</v>
      </c>
      <c r="Q209" t="s">
        <v>165</v>
      </c>
      <c r="R209">
        <v>14.539781</v>
      </c>
      <c r="S209">
        <v>12.373485000000001</v>
      </c>
    </row>
    <row r="210" spans="1:19">
      <c r="A210" t="s">
        <v>7</v>
      </c>
      <c r="B210" t="s">
        <v>145</v>
      </c>
      <c r="C210" t="s">
        <v>8</v>
      </c>
      <c r="D210" t="s">
        <v>165</v>
      </c>
      <c r="E210" t="s">
        <v>217</v>
      </c>
      <c r="F210" t="s">
        <v>74</v>
      </c>
      <c r="G210" t="s">
        <v>1107</v>
      </c>
      <c r="I210" t="s">
        <v>1099</v>
      </c>
      <c r="J210" t="s">
        <v>420</v>
      </c>
      <c r="K210" t="s">
        <v>6</v>
      </c>
      <c r="L210" t="s">
        <v>409</v>
      </c>
      <c r="M210" t="s">
        <v>141</v>
      </c>
      <c r="N210" t="s">
        <v>7</v>
      </c>
      <c r="O210" t="s">
        <v>145</v>
      </c>
      <c r="P210" t="s">
        <v>8</v>
      </c>
      <c r="Q210" t="s">
        <v>165</v>
      </c>
      <c r="R210">
        <v>14.38945</v>
      </c>
      <c r="S210">
        <v>12.524611</v>
      </c>
    </row>
    <row r="211" spans="1:19">
      <c r="A211" t="s">
        <v>7</v>
      </c>
      <c r="B211" t="s">
        <v>145</v>
      </c>
      <c r="C211" t="s">
        <v>8</v>
      </c>
      <c r="D211" t="s">
        <v>165</v>
      </c>
      <c r="E211" t="s">
        <v>218</v>
      </c>
      <c r="F211" t="s">
        <v>75</v>
      </c>
      <c r="G211" t="s">
        <v>1107</v>
      </c>
      <c r="I211" t="s">
        <v>1099</v>
      </c>
      <c r="J211" t="s">
        <v>420</v>
      </c>
      <c r="K211" t="s">
        <v>6</v>
      </c>
      <c r="L211" t="s">
        <v>409</v>
      </c>
      <c r="M211" t="s">
        <v>141</v>
      </c>
      <c r="N211" t="s">
        <v>7</v>
      </c>
      <c r="O211" t="s">
        <v>145</v>
      </c>
      <c r="P211" t="s">
        <v>8</v>
      </c>
      <c r="Q211" t="s">
        <v>165</v>
      </c>
      <c r="R211">
        <v>14.614354000000001</v>
      </c>
      <c r="S211">
        <v>12.344779000000001</v>
      </c>
    </row>
    <row r="212" spans="1:19">
      <c r="A212" t="s">
        <v>7</v>
      </c>
      <c r="B212" t="s">
        <v>145</v>
      </c>
      <c r="C212" t="s">
        <v>8</v>
      </c>
      <c r="D212" t="s">
        <v>165</v>
      </c>
      <c r="E212" t="s">
        <v>220</v>
      </c>
      <c r="F212" t="s">
        <v>219</v>
      </c>
      <c r="G212" t="s">
        <v>1107</v>
      </c>
      <c r="I212" t="s">
        <v>1099</v>
      </c>
      <c r="J212" t="s">
        <v>420</v>
      </c>
      <c r="K212" t="s">
        <v>6</v>
      </c>
      <c r="L212" t="s">
        <v>409</v>
      </c>
      <c r="M212" t="s">
        <v>141</v>
      </c>
      <c r="N212" t="s">
        <v>7</v>
      </c>
      <c r="O212" t="s">
        <v>145</v>
      </c>
      <c r="P212" t="s">
        <v>8</v>
      </c>
      <c r="Q212" t="s">
        <v>165</v>
      </c>
      <c r="R212">
        <v>14.516667</v>
      </c>
      <c r="S212">
        <v>12.366667</v>
      </c>
    </row>
    <row r="213" spans="1:19">
      <c r="A213" t="s">
        <v>7</v>
      </c>
      <c r="B213" t="s">
        <v>145</v>
      </c>
      <c r="C213" t="s">
        <v>8</v>
      </c>
      <c r="D213" t="s">
        <v>165</v>
      </c>
      <c r="E213" t="s">
        <v>600</v>
      </c>
      <c r="G213" t="s">
        <v>1107</v>
      </c>
      <c r="I213" t="s">
        <v>1099</v>
      </c>
      <c r="J213" t="s">
        <v>420</v>
      </c>
      <c r="K213" t="s">
        <v>6</v>
      </c>
      <c r="L213" t="s">
        <v>409</v>
      </c>
      <c r="M213" t="s">
        <v>141</v>
      </c>
      <c r="N213" t="s">
        <v>7</v>
      </c>
      <c r="O213" t="s">
        <v>145</v>
      </c>
      <c r="P213" t="s">
        <v>8</v>
      </c>
      <c r="Q213" t="s">
        <v>165</v>
      </c>
    </row>
    <row r="214" spans="1:19">
      <c r="A214" t="s">
        <v>7</v>
      </c>
      <c r="B214" t="s">
        <v>145</v>
      </c>
      <c r="C214" t="s">
        <v>8</v>
      </c>
      <c r="D214" t="s">
        <v>165</v>
      </c>
      <c r="E214" t="s">
        <v>602</v>
      </c>
      <c r="G214" t="s">
        <v>1107</v>
      </c>
      <c r="I214" t="s">
        <v>1099</v>
      </c>
      <c r="J214" t="s">
        <v>420</v>
      </c>
      <c r="K214" t="s">
        <v>6</v>
      </c>
      <c r="L214" t="s">
        <v>409</v>
      </c>
      <c r="M214" t="s">
        <v>141</v>
      </c>
      <c r="N214" t="s">
        <v>7</v>
      </c>
      <c r="O214" t="s">
        <v>145</v>
      </c>
      <c r="P214" t="s">
        <v>8</v>
      </c>
      <c r="Q214" t="s">
        <v>165</v>
      </c>
    </row>
    <row r="215" spans="1:19">
      <c r="A215" t="s">
        <v>7</v>
      </c>
      <c r="B215" t="s">
        <v>145</v>
      </c>
      <c r="C215" t="s">
        <v>8</v>
      </c>
      <c r="D215" t="s">
        <v>165</v>
      </c>
      <c r="E215" t="s">
        <v>590</v>
      </c>
      <c r="G215" t="s">
        <v>1107</v>
      </c>
      <c r="I215" t="s">
        <v>1099</v>
      </c>
      <c r="J215" t="s">
        <v>420</v>
      </c>
      <c r="K215" t="s">
        <v>6</v>
      </c>
      <c r="L215" t="s">
        <v>409</v>
      </c>
      <c r="M215" t="s">
        <v>141</v>
      </c>
      <c r="N215" t="s">
        <v>7</v>
      </c>
      <c r="O215" t="s">
        <v>145</v>
      </c>
      <c r="P215" t="s">
        <v>8</v>
      </c>
      <c r="Q215" t="s">
        <v>165</v>
      </c>
    </row>
    <row r="216" spans="1:19">
      <c r="A216" t="s">
        <v>7</v>
      </c>
      <c r="B216" t="s">
        <v>145</v>
      </c>
      <c r="C216" t="s">
        <v>8</v>
      </c>
      <c r="D216" t="s">
        <v>165</v>
      </c>
      <c r="E216" t="s">
        <v>598</v>
      </c>
      <c r="G216" t="s">
        <v>1107</v>
      </c>
      <c r="I216" t="s">
        <v>1099</v>
      </c>
      <c r="J216" t="s">
        <v>420</v>
      </c>
      <c r="K216" t="s">
        <v>6</v>
      </c>
      <c r="L216" t="s">
        <v>409</v>
      </c>
      <c r="M216" t="s">
        <v>141</v>
      </c>
      <c r="N216" t="s">
        <v>7</v>
      </c>
      <c r="O216" t="s">
        <v>145</v>
      </c>
      <c r="P216" t="s">
        <v>8</v>
      </c>
      <c r="Q216" t="s">
        <v>165</v>
      </c>
    </row>
    <row r="217" spans="1:19">
      <c r="A217" t="s">
        <v>7</v>
      </c>
      <c r="B217" t="s">
        <v>145</v>
      </c>
      <c r="C217" t="s">
        <v>8</v>
      </c>
      <c r="D217" t="s">
        <v>165</v>
      </c>
      <c r="E217" t="s">
        <v>601</v>
      </c>
      <c r="G217" t="s">
        <v>1108</v>
      </c>
      <c r="I217" t="s">
        <v>1099</v>
      </c>
      <c r="J217" t="s">
        <v>420</v>
      </c>
      <c r="K217" t="s">
        <v>6</v>
      </c>
      <c r="L217" t="s">
        <v>409</v>
      </c>
      <c r="M217" t="s">
        <v>141</v>
      </c>
      <c r="N217" t="s">
        <v>7</v>
      </c>
      <c r="O217" t="s">
        <v>145</v>
      </c>
      <c r="P217" t="s">
        <v>8</v>
      </c>
      <c r="Q217" t="s">
        <v>165</v>
      </c>
    </row>
    <row r="218" spans="1:19">
      <c r="A218" t="s">
        <v>7</v>
      </c>
      <c r="B218" t="s">
        <v>145</v>
      </c>
      <c r="C218" t="s">
        <v>8</v>
      </c>
      <c r="D218" t="s">
        <v>165</v>
      </c>
      <c r="E218" t="s">
        <v>604</v>
      </c>
      <c r="G218" t="s">
        <v>1107</v>
      </c>
      <c r="I218" t="s">
        <v>1099</v>
      </c>
      <c r="J218" t="s">
        <v>420</v>
      </c>
      <c r="K218" t="s">
        <v>6</v>
      </c>
      <c r="L218" t="s">
        <v>409</v>
      </c>
      <c r="M218" t="s">
        <v>141</v>
      </c>
      <c r="N218" t="s">
        <v>7</v>
      </c>
      <c r="O218" t="s">
        <v>145</v>
      </c>
      <c r="P218" t="s">
        <v>8</v>
      </c>
      <c r="Q218" t="s">
        <v>165</v>
      </c>
    </row>
    <row r="219" spans="1:19">
      <c r="A219" t="s">
        <v>7</v>
      </c>
      <c r="B219" t="s">
        <v>145</v>
      </c>
      <c r="C219" t="s">
        <v>8</v>
      </c>
      <c r="D219" t="s">
        <v>165</v>
      </c>
      <c r="E219" t="s">
        <v>603</v>
      </c>
      <c r="G219" t="s">
        <v>1107</v>
      </c>
      <c r="I219" t="s">
        <v>1099</v>
      </c>
      <c r="J219" t="s">
        <v>420</v>
      </c>
      <c r="K219" t="s">
        <v>6</v>
      </c>
      <c r="L219" t="s">
        <v>409</v>
      </c>
      <c r="M219" t="s">
        <v>141</v>
      </c>
      <c r="N219" t="s">
        <v>7</v>
      </c>
      <c r="O219" t="s">
        <v>145</v>
      </c>
      <c r="P219" t="s">
        <v>8</v>
      </c>
      <c r="Q219" t="s">
        <v>165</v>
      </c>
    </row>
    <row r="220" spans="1:19">
      <c r="A220" t="s">
        <v>7</v>
      </c>
      <c r="B220" t="s">
        <v>145</v>
      </c>
      <c r="C220" t="s">
        <v>8</v>
      </c>
      <c r="D220" t="s">
        <v>165</v>
      </c>
      <c r="E220" t="s">
        <v>591</v>
      </c>
      <c r="G220" t="s">
        <v>1107</v>
      </c>
      <c r="I220" t="s">
        <v>1099</v>
      </c>
      <c r="J220" t="s">
        <v>420</v>
      </c>
      <c r="K220" t="s">
        <v>6</v>
      </c>
      <c r="L220" t="s">
        <v>409</v>
      </c>
      <c r="M220" t="s">
        <v>141</v>
      </c>
      <c r="N220" t="s">
        <v>7</v>
      </c>
      <c r="O220" t="s">
        <v>145</v>
      </c>
      <c r="P220" t="s">
        <v>8</v>
      </c>
      <c r="Q220" t="s">
        <v>165</v>
      </c>
    </row>
    <row r="221" spans="1:19">
      <c r="A221" t="s">
        <v>7</v>
      </c>
      <c r="B221" t="s">
        <v>145</v>
      </c>
      <c r="C221" t="s">
        <v>8</v>
      </c>
      <c r="D221" t="s">
        <v>165</v>
      </c>
      <c r="E221" t="s">
        <v>222</v>
      </c>
      <c r="F221" t="s">
        <v>76</v>
      </c>
      <c r="G221" t="s">
        <v>1107</v>
      </c>
      <c r="I221" t="s">
        <v>1099</v>
      </c>
      <c r="J221" t="s">
        <v>420</v>
      </c>
      <c r="K221" t="s">
        <v>6</v>
      </c>
      <c r="L221" t="s">
        <v>409</v>
      </c>
      <c r="M221" t="s">
        <v>141</v>
      </c>
      <c r="N221" t="s">
        <v>7</v>
      </c>
      <c r="O221" t="s">
        <v>145</v>
      </c>
      <c r="P221" t="s">
        <v>8</v>
      </c>
      <c r="Q221" t="s">
        <v>165</v>
      </c>
      <c r="R221">
        <v>14.510147999999999</v>
      </c>
      <c r="S221">
        <v>12.408004</v>
      </c>
    </row>
    <row r="222" spans="1:19">
      <c r="A222" t="s">
        <v>7</v>
      </c>
      <c r="B222" t="s">
        <v>145</v>
      </c>
      <c r="C222" t="s">
        <v>8</v>
      </c>
      <c r="D222" t="s">
        <v>165</v>
      </c>
      <c r="E222" t="s">
        <v>224</v>
      </c>
      <c r="F222" t="s">
        <v>77</v>
      </c>
      <c r="G222" t="s">
        <v>1107</v>
      </c>
      <c r="I222" t="s">
        <v>1099</v>
      </c>
      <c r="J222" t="s">
        <v>420</v>
      </c>
      <c r="K222" t="s">
        <v>6</v>
      </c>
      <c r="L222" t="s">
        <v>409</v>
      </c>
      <c r="M222" t="s">
        <v>141</v>
      </c>
      <c r="N222" t="s">
        <v>7</v>
      </c>
      <c r="O222" t="s">
        <v>145</v>
      </c>
      <c r="P222" t="s">
        <v>8</v>
      </c>
      <c r="Q222" t="s">
        <v>165</v>
      </c>
      <c r="R222">
        <v>14.471966</v>
      </c>
      <c r="S222">
        <v>12.359906000000001</v>
      </c>
    </row>
    <row r="223" spans="1:19">
      <c r="A223" t="s">
        <v>7</v>
      </c>
      <c r="B223" t="s">
        <v>145</v>
      </c>
      <c r="C223" t="s">
        <v>8</v>
      </c>
      <c r="D223" t="s">
        <v>165</v>
      </c>
      <c r="E223" t="s">
        <v>229</v>
      </c>
      <c r="F223" t="s">
        <v>61</v>
      </c>
      <c r="G223" t="s">
        <v>1107</v>
      </c>
      <c r="I223" t="s">
        <v>1099</v>
      </c>
      <c r="J223" t="s">
        <v>420</v>
      </c>
      <c r="K223" t="s">
        <v>6</v>
      </c>
      <c r="L223" t="s">
        <v>409</v>
      </c>
      <c r="M223" t="s">
        <v>141</v>
      </c>
      <c r="N223" t="s">
        <v>7</v>
      </c>
      <c r="O223" t="s">
        <v>145</v>
      </c>
      <c r="P223" t="s">
        <v>8</v>
      </c>
      <c r="Q223" t="s">
        <v>165</v>
      </c>
      <c r="R223">
        <v>14.637732</v>
      </c>
      <c r="S223">
        <v>12.377027</v>
      </c>
    </row>
    <row r="224" spans="1:19">
      <c r="A224" t="s">
        <v>7</v>
      </c>
      <c r="B224" t="s">
        <v>145</v>
      </c>
      <c r="C224" t="s">
        <v>8</v>
      </c>
      <c r="D224" t="s">
        <v>165</v>
      </c>
      <c r="E224" t="s">
        <v>230</v>
      </c>
      <c r="F224" t="s">
        <v>535</v>
      </c>
      <c r="G224" t="s">
        <v>1107</v>
      </c>
      <c r="I224" t="s">
        <v>1099</v>
      </c>
      <c r="J224" t="s">
        <v>420</v>
      </c>
      <c r="K224" t="s">
        <v>6</v>
      </c>
      <c r="L224" t="s">
        <v>409</v>
      </c>
      <c r="M224" t="s">
        <v>141</v>
      </c>
      <c r="N224" t="s">
        <v>7</v>
      </c>
      <c r="O224" t="s">
        <v>145</v>
      </c>
      <c r="P224" t="s">
        <v>8</v>
      </c>
      <c r="Q224" t="s">
        <v>165</v>
      </c>
      <c r="R224">
        <v>14.266667</v>
      </c>
      <c r="S224">
        <v>12.633333</v>
      </c>
    </row>
    <row r="225" spans="1:19">
      <c r="A225" t="s">
        <v>7</v>
      </c>
      <c r="B225" t="s">
        <v>145</v>
      </c>
      <c r="C225" t="s">
        <v>8</v>
      </c>
      <c r="D225" t="s">
        <v>165</v>
      </c>
      <c r="E225" t="s">
        <v>232</v>
      </c>
      <c r="F225" t="s">
        <v>599</v>
      </c>
      <c r="G225" t="s">
        <v>1107</v>
      </c>
      <c r="I225" t="s">
        <v>1099</v>
      </c>
      <c r="J225" t="s">
        <v>420</v>
      </c>
      <c r="K225" t="s">
        <v>6</v>
      </c>
      <c r="L225" t="s">
        <v>409</v>
      </c>
      <c r="M225" t="s">
        <v>141</v>
      </c>
      <c r="N225" t="s">
        <v>7</v>
      </c>
      <c r="O225" t="s">
        <v>145</v>
      </c>
      <c r="P225" t="s">
        <v>8</v>
      </c>
      <c r="Q225" t="s">
        <v>165</v>
      </c>
      <c r="R225">
        <v>14.788347999999999</v>
      </c>
      <c r="S225">
        <v>12.522824</v>
      </c>
    </row>
    <row r="226" spans="1:19">
      <c r="A226" t="s">
        <v>7</v>
      </c>
      <c r="B226" t="s">
        <v>145</v>
      </c>
      <c r="C226" t="s">
        <v>8</v>
      </c>
      <c r="D226" t="s">
        <v>165</v>
      </c>
      <c r="E226" t="s">
        <v>236</v>
      </c>
      <c r="F226" t="s">
        <v>235</v>
      </c>
      <c r="G226" t="s">
        <v>1107</v>
      </c>
      <c r="I226" t="s">
        <v>1099</v>
      </c>
      <c r="J226" t="s">
        <v>420</v>
      </c>
      <c r="K226" t="s">
        <v>6</v>
      </c>
      <c r="L226" t="s">
        <v>409</v>
      </c>
      <c r="M226" t="s">
        <v>141</v>
      </c>
      <c r="N226" t="s">
        <v>7</v>
      </c>
      <c r="O226" t="s">
        <v>145</v>
      </c>
      <c r="P226" t="s">
        <v>8</v>
      </c>
      <c r="Q226" t="s">
        <v>165</v>
      </c>
      <c r="R226">
        <v>14.566667000000001</v>
      </c>
      <c r="S226">
        <v>12.416667</v>
      </c>
    </row>
    <row r="227" spans="1:19">
      <c r="A227" t="s">
        <v>7</v>
      </c>
      <c r="B227" t="s">
        <v>145</v>
      </c>
      <c r="C227" t="s">
        <v>8</v>
      </c>
      <c r="D227" t="s">
        <v>165</v>
      </c>
      <c r="E227" t="s">
        <v>596</v>
      </c>
      <c r="F227" t="s">
        <v>597</v>
      </c>
      <c r="G227" t="s">
        <v>1107</v>
      </c>
      <c r="I227" t="s">
        <v>1099</v>
      </c>
      <c r="J227" t="s">
        <v>420</v>
      </c>
      <c r="K227" t="s">
        <v>6</v>
      </c>
      <c r="L227" t="s">
        <v>409</v>
      </c>
      <c r="M227" t="s">
        <v>141</v>
      </c>
      <c r="N227" t="s">
        <v>7</v>
      </c>
      <c r="O227" t="s">
        <v>145</v>
      </c>
      <c r="P227" t="s">
        <v>8</v>
      </c>
      <c r="Q227" t="s">
        <v>165</v>
      </c>
      <c r="R227">
        <v>14.566667000000001</v>
      </c>
      <c r="S227">
        <v>12.366667</v>
      </c>
    </row>
    <row r="228" spans="1:19">
      <c r="A228" t="s">
        <v>7</v>
      </c>
      <c r="B228" t="s">
        <v>145</v>
      </c>
      <c r="C228" t="s">
        <v>8</v>
      </c>
      <c r="D228" t="s">
        <v>165</v>
      </c>
      <c r="E228" t="s">
        <v>252</v>
      </c>
      <c r="F228" t="s">
        <v>251</v>
      </c>
      <c r="G228" t="s">
        <v>1107</v>
      </c>
      <c r="I228" t="s">
        <v>1099</v>
      </c>
      <c r="J228" t="s">
        <v>420</v>
      </c>
      <c r="K228" t="s">
        <v>6</v>
      </c>
      <c r="L228" t="s">
        <v>409</v>
      </c>
      <c r="M228" t="s">
        <v>141</v>
      </c>
      <c r="N228" t="s">
        <v>7</v>
      </c>
      <c r="O228" t="s">
        <v>145</v>
      </c>
      <c r="P228" t="s">
        <v>8</v>
      </c>
      <c r="Q228" t="s">
        <v>165</v>
      </c>
      <c r="R228">
        <v>14.385762</v>
      </c>
      <c r="S228">
        <v>12.470584000000001</v>
      </c>
    </row>
    <row r="229" spans="1:19">
      <c r="A229" t="s">
        <v>7</v>
      </c>
      <c r="B229" t="s">
        <v>145</v>
      </c>
      <c r="C229" t="s">
        <v>8</v>
      </c>
      <c r="D229" t="s">
        <v>165</v>
      </c>
      <c r="E229" t="s">
        <v>255</v>
      </c>
      <c r="F229" t="s">
        <v>254</v>
      </c>
      <c r="G229" t="s">
        <v>1108</v>
      </c>
      <c r="H229" t="s">
        <v>587</v>
      </c>
      <c r="I229" t="s">
        <v>1099</v>
      </c>
      <c r="J229" t="s">
        <v>420</v>
      </c>
      <c r="K229" t="s">
        <v>6</v>
      </c>
      <c r="L229" t="s">
        <v>409</v>
      </c>
      <c r="M229" t="s">
        <v>141</v>
      </c>
      <c r="N229" t="s">
        <v>7</v>
      </c>
      <c r="O229" t="s">
        <v>145</v>
      </c>
      <c r="P229" t="s">
        <v>8</v>
      </c>
      <c r="Q229" t="s">
        <v>165</v>
      </c>
      <c r="R229">
        <v>14.383333</v>
      </c>
      <c r="S229">
        <v>12.466666999999999</v>
      </c>
    </row>
    <row r="230" spans="1:19">
      <c r="A230" t="s">
        <v>7</v>
      </c>
      <c r="B230" t="s">
        <v>145</v>
      </c>
      <c r="C230" t="s">
        <v>8</v>
      </c>
      <c r="D230" t="s">
        <v>165</v>
      </c>
      <c r="E230" t="s">
        <v>257</v>
      </c>
      <c r="F230" t="s">
        <v>256</v>
      </c>
      <c r="G230" t="s">
        <v>1107</v>
      </c>
      <c r="I230" t="s">
        <v>1099</v>
      </c>
      <c r="J230" t="s">
        <v>420</v>
      </c>
      <c r="K230" t="s">
        <v>6</v>
      </c>
      <c r="L230" t="s">
        <v>409</v>
      </c>
      <c r="M230" t="s">
        <v>141</v>
      </c>
      <c r="N230" t="s">
        <v>7</v>
      </c>
      <c r="O230" t="s">
        <v>145</v>
      </c>
      <c r="P230" t="s">
        <v>8</v>
      </c>
      <c r="Q230" t="s">
        <v>165</v>
      </c>
      <c r="R230">
        <v>14.466267</v>
      </c>
      <c r="S230">
        <v>12.467777</v>
      </c>
    </row>
    <row r="231" spans="1:19">
      <c r="A231" t="s">
        <v>7</v>
      </c>
      <c r="B231" t="s">
        <v>145</v>
      </c>
      <c r="C231" t="s">
        <v>8</v>
      </c>
      <c r="D231" t="s">
        <v>165</v>
      </c>
      <c r="E231" t="s">
        <v>266</v>
      </c>
      <c r="F231" t="s">
        <v>56</v>
      </c>
      <c r="G231" t="s">
        <v>1107</v>
      </c>
      <c r="I231" t="s">
        <v>1099</v>
      </c>
      <c r="J231" t="s">
        <v>420</v>
      </c>
      <c r="K231" t="s">
        <v>6</v>
      </c>
      <c r="L231" t="s">
        <v>409</v>
      </c>
      <c r="M231" t="s">
        <v>141</v>
      </c>
      <c r="N231" t="s">
        <v>7</v>
      </c>
      <c r="O231" t="s">
        <v>145</v>
      </c>
      <c r="P231" t="s">
        <v>8</v>
      </c>
      <c r="Q231" t="s">
        <v>165</v>
      </c>
      <c r="R231">
        <v>14.738611000000001</v>
      </c>
      <c r="S231">
        <v>11.545555999999999</v>
      </c>
    </row>
    <row r="232" spans="1:19">
      <c r="A232" t="s">
        <v>7</v>
      </c>
      <c r="B232" t="s">
        <v>145</v>
      </c>
      <c r="C232" t="s">
        <v>8</v>
      </c>
      <c r="D232" t="s">
        <v>165</v>
      </c>
      <c r="E232" t="s">
        <v>277</v>
      </c>
      <c r="F232" t="s">
        <v>276</v>
      </c>
      <c r="G232" t="s">
        <v>1107</v>
      </c>
      <c r="I232" t="s">
        <v>1099</v>
      </c>
      <c r="J232" t="s">
        <v>420</v>
      </c>
      <c r="K232" t="s">
        <v>6</v>
      </c>
      <c r="L232" t="s">
        <v>409</v>
      </c>
      <c r="M232" t="s">
        <v>141</v>
      </c>
      <c r="N232" t="s">
        <v>7</v>
      </c>
      <c r="O232" t="s">
        <v>145</v>
      </c>
      <c r="P232" t="s">
        <v>8</v>
      </c>
      <c r="Q232" t="s">
        <v>165</v>
      </c>
      <c r="R232">
        <v>14.466625000000001</v>
      </c>
      <c r="S232">
        <v>12.571702999999999</v>
      </c>
    </row>
    <row r="233" spans="1:19">
      <c r="A233" t="s">
        <v>7</v>
      </c>
      <c r="B233" t="s">
        <v>145</v>
      </c>
      <c r="C233" t="s">
        <v>8</v>
      </c>
      <c r="D233" t="s">
        <v>165</v>
      </c>
      <c r="E233" t="s">
        <v>280</v>
      </c>
      <c r="F233" t="s">
        <v>78</v>
      </c>
      <c r="G233" t="s">
        <v>1107</v>
      </c>
      <c r="I233" t="s">
        <v>1099</v>
      </c>
      <c r="J233" t="s">
        <v>420</v>
      </c>
      <c r="K233" t="s">
        <v>6</v>
      </c>
      <c r="L233" t="s">
        <v>409</v>
      </c>
      <c r="M233" t="s">
        <v>141</v>
      </c>
      <c r="N233" t="s">
        <v>7</v>
      </c>
      <c r="O233" t="s">
        <v>145</v>
      </c>
      <c r="P233" t="s">
        <v>8</v>
      </c>
      <c r="Q233" t="s">
        <v>165</v>
      </c>
      <c r="R233">
        <v>14.498946999999999</v>
      </c>
      <c r="S233">
        <v>12.472550999999999</v>
      </c>
    </row>
    <row r="234" spans="1:19">
      <c r="A234" t="s">
        <v>7</v>
      </c>
      <c r="B234" t="s">
        <v>145</v>
      </c>
      <c r="C234" t="s">
        <v>8</v>
      </c>
      <c r="D234" t="s">
        <v>165</v>
      </c>
      <c r="E234" t="s">
        <v>281</v>
      </c>
      <c r="F234" t="s">
        <v>62</v>
      </c>
      <c r="G234" t="s">
        <v>1107</v>
      </c>
      <c r="I234" t="s">
        <v>1099</v>
      </c>
      <c r="J234" t="s">
        <v>420</v>
      </c>
      <c r="K234" t="s">
        <v>6</v>
      </c>
      <c r="L234" t="s">
        <v>409</v>
      </c>
      <c r="M234" t="s">
        <v>141</v>
      </c>
      <c r="N234" t="s">
        <v>7</v>
      </c>
      <c r="O234" t="s">
        <v>145</v>
      </c>
      <c r="P234" t="s">
        <v>8</v>
      </c>
      <c r="Q234" t="s">
        <v>165</v>
      </c>
      <c r="R234">
        <v>14.836428</v>
      </c>
      <c r="S234">
        <v>12.173109999999999</v>
      </c>
    </row>
    <row r="235" spans="1:19">
      <c r="A235" t="s">
        <v>7</v>
      </c>
      <c r="B235" t="s">
        <v>145</v>
      </c>
      <c r="C235" t="s">
        <v>8</v>
      </c>
      <c r="D235" t="s">
        <v>165</v>
      </c>
      <c r="E235" t="s">
        <v>605</v>
      </c>
      <c r="F235" t="s">
        <v>606</v>
      </c>
      <c r="G235" t="s">
        <v>1107</v>
      </c>
      <c r="I235" t="s">
        <v>1099</v>
      </c>
      <c r="J235" t="s">
        <v>420</v>
      </c>
      <c r="K235" t="s">
        <v>6</v>
      </c>
      <c r="L235" t="s">
        <v>409</v>
      </c>
      <c r="M235" t="s">
        <v>141</v>
      </c>
      <c r="N235" t="s">
        <v>7</v>
      </c>
      <c r="O235" t="s">
        <v>145</v>
      </c>
      <c r="P235" t="s">
        <v>8</v>
      </c>
      <c r="Q235" t="s">
        <v>165</v>
      </c>
      <c r="R235">
        <v>14.285812999999999</v>
      </c>
      <c r="S235">
        <v>12.640774</v>
      </c>
    </row>
    <row r="236" spans="1:19">
      <c r="A236" t="s">
        <v>7</v>
      </c>
      <c r="B236" t="s">
        <v>145</v>
      </c>
      <c r="C236" t="s">
        <v>8</v>
      </c>
      <c r="D236" t="s">
        <v>165</v>
      </c>
      <c r="E236" t="s">
        <v>288</v>
      </c>
      <c r="F236" t="s">
        <v>287</v>
      </c>
      <c r="G236" t="s">
        <v>1107</v>
      </c>
      <c r="I236" t="s">
        <v>1099</v>
      </c>
      <c r="J236" t="s">
        <v>420</v>
      </c>
      <c r="K236" t="s">
        <v>6</v>
      </c>
      <c r="L236" t="s">
        <v>409</v>
      </c>
      <c r="M236" t="s">
        <v>141</v>
      </c>
      <c r="N236" t="s">
        <v>7</v>
      </c>
      <c r="O236" t="s">
        <v>145</v>
      </c>
      <c r="P236" t="s">
        <v>8</v>
      </c>
      <c r="Q236" t="s">
        <v>165</v>
      </c>
      <c r="R236">
        <v>14.534568</v>
      </c>
      <c r="S236">
        <v>12.437841000000001</v>
      </c>
    </row>
    <row r="237" spans="1:19">
      <c r="A237" t="s">
        <v>7</v>
      </c>
      <c r="B237" t="s">
        <v>145</v>
      </c>
      <c r="C237" t="s">
        <v>8</v>
      </c>
      <c r="D237" t="s">
        <v>165</v>
      </c>
      <c r="E237" t="s">
        <v>291</v>
      </c>
      <c r="F237" t="s">
        <v>79</v>
      </c>
      <c r="G237" t="s">
        <v>1107</v>
      </c>
      <c r="I237" t="s">
        <v>1099</v>
      </c>
      <c r="J237" t="s">
        <v>420</v>
      </c>
      <c r="K237" t="s">
        <v>6</v>
      </c>
      <c r="L237" t="s">
        <v>409</v>
      </c>
      <c r="M237" t="s">
        <v>141</v>
      </c>
      <c r="N237" t="s">
        <v>7</v>
      </c>
      <c r="O237" t="s">
        <v>145</v>
      </c>
      <c r="P237" t="s">
        <v>8</v>
      </c>
      <c r="Q237" t="s">
        <v>165</v>
      </c>
      <c r="R237">
        <v>14.710153999999999</v>
      </c>
      <c r="S237">
        <v>12.228198000000001</v>
      </c>
    </row>
    <row r="238" spans="1:19">
      <c r="A238" t="s">
        <v>7</v>
      </c>
      <c r="B238" t="s">
        <v>145</v>
      </c>
      <c r="C238" t="s">
        <v>8</v>
      </c>
      <c r="D238" t="s">
        <v>165</v>
      </c>
      <c r="E238" t="s">
        <v>588</v>
      </c>
      <c r="F238" t="s">
        <v>589</v>
      </c>
      <c r="G238" t="s">
        <v>1107</v>
      </c>
      <c r="I238" t="s">
        <v>1099</v>
      </c>
      <c r="J238" t="s">
        <v>420</v>
      </c>
      <c r="K238" t="s">
        <v>6</v>
      </c>
      <c r="L238" t="s">
        <v>409</v>
      </c>
      <c r="M238" t="s">
        <v>141</v>
      </c>
      <c r="N238" t="s">
        <v>7</v>
      </c>
      <c r="O238" t="s">
        <v>145</v>
      </c>
      <c r="P238" t="s">
        <v>8</v>
      </c>
      <c r="Q238" t="s">
        <v>165</v>
      </c>
      <c r="R238">
        <v>15.054069</v>
      </c>
      <c r="S238">
        <v>11.92666</v>
      </c>
    </row>
    <row r="239" spans="1:19">
      <c r="A239" t="s">
        <v>7</v>
      </c>
      <c r="B239" t="s">
        <v>145</v>
      </c>
      <c r="C239" t="s">
        <v>8</v>
      </c>
      <c r="D239" t="s">
        <v>165</v>
      </c>
      <c r="E239" t="s">
        <v>595</v>
      </c>
      <c r="F239" t="s">
        <v>313</v>
      </c>
      <c r="G239" t="s">
        <v>1107</v>
      </c>
      <c r="I239" t="s">
        <v>1099</v>
      </c>
      <c r="J239" t="s">
        <v>420</v>
      </c>
      <c r="K239" t="s">
        <v>6</v>
      </c>
      <c r="L239" t="s">
        <v>409</v>
      </c>
      <c r="M239" t="s">
        <v>141</v>
      </c>
      <c r="N239" t="s">
        <v>7</v>
      </c>
      <c r="O239" t="s">
        <v>145</v>
      </c>
      <c r="P239" t="s">
        <v>8</v>
      </c>
      <c r="Q239" t="s">
        <v>165</v>
      </c>
      <c r="R239">
        <v>14.562844999999999</v>
      </c>
      <c r="S239">
        <v>12.402666999999999</v>
      </c>
    </row>
    <row r="240" spans="1:19">
      <c r="A240" t="s">
        <v>7</v>
      </c>
      <c r="B240" t="s">
        <v>145</v>
      </c>
      <c r="C240" t="s">
        <v>8</v>
      </c>
      <c r="D240" t="s">
        <v>165</v>
      </c>
      <c r="E240" t="s">
        <v>315</v>
      </c>
      <c r="F240" t="s">
        <v>594</v>
      </c>
      <c r="G240" t="s">
        <v>1107</v>
      </c>
      <c r="I240" t="s">
        <v>1099</v>
      </c>
      <c r="J240" t="s">
        <v>420</v>
      </c>
      <c r="K240" t="s">
        <v>6</v>
      </c>
      <c r="L240" t="s">
        <v>409</v>
      </c>
      <c r="M240" t="s">
        <v>141</v>
      </c>
      <c r="N240" t="s">
        <v>7</v>
      </c>
      <c r="O240" t="s">
        <v>145</v>
      </c>
      <c r="P240" t="s">
        <v>8</v>
      </c>
      <c r="Q240" t="s">
        <v>165</v>
      </c>
      <c r="R240">
        <v>14.373906</v>
      </c>
      <c r="S240">
        <v>12.537039</v>
      </c>
    </row>
    <row r="241" spans="1:19">
      <c r="A241" t="s">
        <v>7</v>
      </c>
      <c r="B241" t="s">
        <v>145</v>
      </c>
      <c r="C241" t="s">
        <v>25</v>
      </c>
      <c r="D241" t="s">
        <v>159</v>
      </c>
      <c r="E241" t="s">
        <v>221</v>
      </c>
      <c r="F241" t="s">
        <v>68</v>
      </c>
      <c r="G241" t="s">
        <v>1107</v>
      </c>
      <c r="I241" t="s">
        <v>1099</v>
      </c>
      <c r="J241" t="s">
        <v>420</v>
      </c>
      <c r="K241" t="s">
        <v>6</v>
      </c>
      <c r="L241" t="s">
        <v>409</v>
      </c>
      <c r="M241" t="s">
        <v>141</v>
      </c>
      <c r="N241" t="s">
        <v>7</v>
      </c>
      <c r="O241" t="s">
        <v>145</v>
      </c>
      <c r="P241" t="s">
        <v>25</v>
      </c>
      <c r="Q241" t="s">
        <v>159</v>
      </c>
      <c r="R241">
        <v>15.050891999999999</v>
      </c>
      <c r="S241">
        <v>12.050858</v>
      </c>
    </row>
    <row r="242" spans="1:19">
      <c r="A242" t="s">
        <v>7</v>
      </c>
      <c r="B242" t="s">
        <v>145</v>
      </c>
      <c r="C242" t="s">
        <v>25</v>
      </c>
      <c r="D242" t="s">
        <v>159</v>
      </c>
      <c r="E242" t="s">
        <v>657</v>
      </c>
      <c r="G242" t="s">
        <v>1108</v>
      </c>
      <c r="H242" t="s">
        <v>657</v>
      </c>
      <c r="I242" t="s">
        <v>1099</v>
      </c>
      <c r="J242" t="s">
        <v>420</v>
      </c>
      <c r="K242" t="s">
        <v>6</v>
      </c>
      <c r="L242" t="s">
        <v>409</v>
      </c>
      <c r="M242" t="s">
        <v>141</v>
      </c>
      <c r="N242" t="s">
        <v>7</v>
      </c>
      <c r="O242" t="s">
        <v>145</v>
      </c>
      <c r="P242" t="s">
        <v>25</v>
      </c>
      <c r="Q242" t="s">
        <v>159</v>
      </c>
    </row>
    <row r="243" spans="1:19">
      <c r="A243" t="s">
        <v>7</v>
      </c>
      <c r="B243" t="s">
        <v>145</v>
      </c>
      <c r="C243" t="s">
        <v>25</v>
      </c>
      <c r="D243" t="s">
        <v>159</v>
      </c>
      <c r="E243" t="s">
        <v>199</v>
      </c>
      <c r="G243" t="s">
        <v>1108</v>
      </c>
      <c r="H243" t="s">
        <v>199</v>
      </c>
      <c r="I243" t="s">
        <v>1099</v>
      </c>
      <c r="J243" t="s">
        <v>500</v>
      </c>
      <c r="K243" t="s">
        <v>402</v>
      </c>
      <c r="L243" t="s">
        <v>576</v>
      </c>
      <c r="M243" t="s">
        <v>42</v>
      </c>
    </row>
    <row r="244" spans="1:19">
      <c r="A244" t="s">
        <v>7</v>
      </c>
      <c r="B244" t="s">
        <v>145</v>
      </c>
      <c r="C244" t="s">
        <v>25</v>
      </c>
      <c r="D244" t="s">
        <v>159</v>
      </c>
      <c r="E244" t="s">
        <v>667</v>
      </c>
      <c r="G244" t="s">
        <v>1108</v>
      </c>
      <c r="H244" t="s">
        <v>667</v>
      </c>
      <c r="I244" t="s">
        <v>1099</v>
      </c>
      <c r="J244" t="s">
        <v>500</v>
      </c>
      <c r="K244" t="s">
        <v>402</v>
      </c>
      <c r="L244" t="s">
        <v>576</v>
      </c>
      <c r="M244" t="s">
        <v>42</v>
      </c>
    </row>
    <row r="245" spans="1:19">
      <c r="A245" t="s">
        <v>7</v>
      </c>
      <c r="B245" t="s">
        <v>145</v>
      </c>
      <c r="C245" t="s">
        <v>25</v>
      </c>
      <c r="D245" t="s">
        <v>159</v>
      </c>
      <c r="E245" t="s">
        <v>248</v>
      </c>
      <c r="F245" t="s">
        <v>247</v>
      </c>
      <c r="G245" t="s">
        <v>1108</v>
      </c>
      <c r="H245" t="s">
        <v>658</v>
      </c>
      <c r="I245" t="s">
        <v>1099</v>
      </c>
      <c r="J245" t="s">
        <v>500</v>
      </c>
      <c r="K245" t="s">
        <v>402</v>
      </c>
      <c r="L245" t="s">
        <v>576</v>
      </c>
      <c r="M245" t="s">
        <v>42</v>
      </c>
      <c r="R245">
        <v>15.077214</v>
      </c>
      <c r="S245">
        <v>11.998089</v>
      </c>
    </row>
    <row r="246" spans="1:19">
      <c r="A246" t="s">
        <v>7</v>
      </c>
      <c r="B246" t="s">
        <v>145</v>
      </c>
      <c r="C246" t="s">
        <v>25</v>
      </c>
      <c r="D246" t="s">
        <v>159</v>
      </c>
      <c r="E246" t="s">
        <v>248</v>
      </c>
      <c r="F246" t="s">
        <v>247</v>
      </c>
      <c r="G246" t="s">
        <v>1108</v>
      </c>
      <c r="H246" t="s">
        <v>659</v>
      </c>
      <c r="I246" t="s">
        <v>1099</v>
      </c>
      <c r="J246" t="s">
        <v>500</v>
      </c>
      <c r="K246" t="s">
        <v>402</v>
      </c>
      <c r="L246" t="s">
        <v>576</v>
      </c>
      <c r="M246" t="s">
        <v>42</v>
      </c>
      <c r="R246">
        <v>15.077214</v>
      </c>
      <c r="S246">
        <v>11.998089</v>
      </c>
    </row>
    <row r="247" spans="1:19">
      <c r="A247" t="s">
        <v>7</v>
      </c>
      <c r="B247" t="s">
        <v>145</v>
      </c>
      <c r="C247" t="s">
        <v>25</v>
      </c>
      <c r="D247" t="s">
        <v>159</v>
      </c>
      <c r="E247" t="s">
        <v>266</v>
      </c>
      <c r="F247" t="s">
        <v>56</v>
      </c>
      <c r="G247" t="s">
        <v>1108</v>
      </c>
      <c r="H247" t="s">
        <v>661</v>
      </c>
      <c r="I247" t="s">
        <v>1099</v>
      </c>
      <c r="J247" t="s">
        <v>500</v>
      </c>
      <c r="K247" t="s">
        <v>402</v>
      </c>
      <c r="L247" t="s">
        <v>576</v>
      </c>
      <c r="M247" t="s">
        <v>42</v>
      </c>
      <c r="R247">
        <v>14.738611000000001</v>
      </c>
      <c r="S247">
        <v>11.545555999999999</v>
      </c>
    </row>
    <row r="248" spans="1:19">
      <c r="A248" t="s">
        <v>7</v>
      </c>
      <c r="B248" t="s">
        <v>145</v>
      </c>
      <c r="C248" t="s">
        <v>25</v>
      </c>
      <c r="D248" t="s">
        <v>159</v>
      </c>
      <c r="E248" t="s">
        <v>266</v>
      </c>
      <c r="F248" t="s">
        <v>56</v>
      </c>
      <c r="G248" t="s">
        <v>1108</v>
      </c>
      <c r="H248" t="s">
        <v>662</v>
      </c>
      <c r="I248" t="s">
        <v>1099</v>
      </c>
      <c r="J248" t="s">
        <v>500</v>
      </c>
      <c r="K248" t="s">
        <v>402</v>
      </c>
      <c r="L248" t="s">
        <v>576</v>
      </c>
      <c r="M248" t="s">
        <v>42</v>
      </c>
      <c r="R248">
        <v>14.738611000000001</v>
      </c>
      <c r="S248">
        <v>11.545555999999999</v>
      </c>
    </row>
    <row r="249" spans="1:19">
      <c r="A249" t="s">
        <v>7</v>
      </c>
      <c r="B249" t="s">
        <v>145</v>
      </c>
      <c r="C249" t="s">
        <v>25</v>
      </c>
      <c r="D249" t="s">
        <v>159</v>
      </c>
      <c r="E249" t="s">
        <v>300</v>
      </c>
      <c r="F249" t="s">
        <v>57</v>
      </c>
      <c r="G249" t="s">
        <v>1108</v>
      </c>
      <c r="H249" t="s">
        <v>660</v>
      </c>
      <c r="I249" t="s">
        <v>1099</v>
      </c>
      <c r="J249" t="s">
        <v>500</v>
      </c>
      <c r="K249" t="s">
        <v>402</v>
      </c>
      <c r="L249" t="s">
        <v>576</v>
      </c>
      <c r="M249" t="s">
        <v>42</v>
      </c>
      <c r="R249">
        <v>14.654166999999999</v>
      </c>
      <c r="S249">
        <v>11.5975</v>
      </c>
    </row>
    <row r="250" spans="1:19">
      <c r="A250" t="s">
        <v>7</v>
      </c>
      <c r="B250" t="s">
        <v>145</v>
      </c>
      <c r="C250" t="s">
        <v>25</v>
      </c>
      <c r="D250" t="s">
        <v>159</v>
      </c>
      <c r="E250" t="s">
        <v>304</v>
      </c>
      <c r="F250" t="s">
        <v>303</v>
      </c>
      <c r="G250" t="s">
        <v>1108</v>
      </c>
      <c r="H250" t="s">
        <v>663</v>
      </c>
      <c r="I250" t="s">
        <v>1099</v>
      </c>
      <c r="J250" t="s">
        <v>420</v>
      </c>
      <c r="K250" t="s">
        <v>6</v>
      </c>
      <c r="L250" t="s">
        <v>409</v>
      </c>
      <c r="M250" t="s">
        <v>141</v>
      </c>
      <c r="N250" t="s">
        <v>7</v>
      </c>
      <c r="O250" t="s">
        <v>145</v>
      </c>
      <c r="P250" t="s">
        <v>25</v>
      </c>
      <c r="Q250" t="s">
        <v>159</v>
      </c>
      <c r="R250">
        <v>14.443462999999999</v>
      </c>
      <c r="S250">
        <v>11.318056</v>
      </c>
    </row>
    <row r="251" spans="1:19">
      <c r="A251" t="s">
        <v>7</v>
      </c>
      <c r="B251" t="s">
        <v>145</v>
      </c>
      <c r="C251" t="s">
        <v>25</v>
      </c>
      <c r="D251" t="s">
        <v>159</v>
      </c>
      <c r="E251" t="s">
        <v>304</v>
      </c>
      <c r="F251" t="s">
        <v>303</v>
      </c>
      <c r="G251" t="s">
        <v>1108</v>
      </c>
      <c r="H251" t="s">
        <v>664</v>
      </c>
      <c r="I251" t="s">
        <v>1099</v>
      </c>
      <c r="J251" t="s">
        <v>420</v>
      </c>
      <c r="K251" t="s">
        <v>6</v>
      </c>
      <c r="L251" t="s">
        <v>409</v>
      </c>
      <c r="M251" t="s">
        <v>141</v>
      </c>
      <c r="N251" t="s">
        <v>7</v>
      </c>
      <c r="O251" t="s">
        <v>145</v>
      </c>
      <c r="P251" t="s">
        <v>25</v>
      </c>
      <c r="Q251" t="s">
        <v>159</v>
      </c>
      <c r="R251">
        <v>14.443462999999999</v>
      </c>
      <c r="S251">
        <v>11.318056</v>
      </c>
    </row>
    <row r="252" spans="1:19">
      <c r="A252" t="s">
        <v>7</v>
      </c>
      <c r="B252" t="s">
        <v>145</v>
      </c>
      <c r="C252" t="s">
        <v>25</v>
      </c>
      <c r="D252" t="s">
        <v>159</v>
      </c>
      <c r="E252" t="s">
        <v>304</v>
      </c>
      <c r="F252" t="s">
        <v>303</v>
      </c>
      <c r="G252" t="s">
        <v>1108</v>
      </c>
      <c r="H252" t="s">
        <v>665</v>
      </c>
      <c r="I252" t="s">
        <v>1099</v>
      </c>
      <c r="J252" t="s">
        <v>420</v>
      </c>
      <c r="K252" t="s">
        <v>6</v>
      </c>
      <c r="L252" t="s">
        <v>409</v>
      </c>
      <c r="M252" t="s">
        <v>141</v>
      </c>
      <c r="N252" t="s">
        <v>7</v>
      </c>
      <c r="O252" t="s">
        <v>145</v>
      </c>
      <c r="P252" t="s">
        <v>25</v>
      </c>
      <c r="Q252" t="s">
        <v>159</v>
      </c>
      <c r="R252">
        <v>14.443462999999999</v>
      </c>
      <c r="S252">
        <v>11.318056</v>
      </c>
    </row>
    <row r="253" spans="1:19">
      <c r="A253" t="s">
        <v>7</v>
      </c>
      <c r="B253" t="s">
        <v>145</v>
      </c>
      <c r="C253" t="s">
        <v>25</v>
      </c>
      <c r="D253" t="s">
        <v>159</v>
      </c>
      <c r="E253" t="s">
        <v>304</v>
      </c>
      <c r="F253" t="s">
        <v>303</v>
      </c>
      <c r="G253" t="s">
        <v>1108</v>
      </c>
      <c r="H253" t="s">
        <v>666</v>
      </c>
      <c r="I253" t="s">
        <v>1099</v>
      </c>
      <c r="J253" t="s">
        <v>420</v>
      </c>
      <c r="K253" t="s">
        <v>6</v>
      </c>
      <c r="L253" t="s">
        <v>409</v>
      </c>
      <c r="M253" t="s">
        <v>141</v>
      </c>
      <c r="N253" t="s">
        <v>7</v>
      </c>
      <c r="O253" t="s">
        <v>145</v>
      </c>
      <c r="P253" t="s">
        <v>25</v>
      </c>
      <c r="Q253" t="s">
        <v>159</v>
      </c>
      <c r="R253">
        <v>14.443462999999999</v>
      </c>
      <c r="S253">
        <v>11.318056</v>
      </c>
    </row>
    <row r="254" spans="1:19">
      <c r="A254" t="s">
        <v>7</v>
      </c>
      <c r="B254" t="s">
        <v>145</v>
      </c>
      <c r="C254" t="s">
        <v>25</v>
      </c>
      <c r="D254" t="s">
        <v>159</v>
      </c>
      <c r="E254" t="s">
        <v>312</v>
      </c>
      <c r="F254" t="s">
        <v>58</v>
      </c>
      <c r="G254" t="s">
        <v>1107</v>
      </c>
      <c r="I254" t="s">
        <v>1099</v>
      </c>
      <c r="J254" t="s">
        <v>420</v>
      </c>
      <c r="K254" t="s">
        <v>6</v>
      </c>
      <c r="L254" t="s">
        <v>409</v>
      </c>
      <c r="M254" t="s">
        <v>141</v>
      </c>
      <c r="N254" t="s">
        <v>7</v>
      </c>
      <c r="O254" t="s">
        <v>145</v>
      </c>
      <c r="P254" t="s">
        <v>25</v>
      </c>
      <c r="Q254" t="s">
        <v>159</v>
      </c>
      <c r="R254">
        <v>14.570667</v>
      </c>
      <c r="S254">
        <v>11.398794000000001</v>
      </c>
    </row>
    <row r="255" spans="1:19">
      <c r="A255" t="s">
        <v>7</v>
      </c>
      <c r="B255" t="s">
        <v>145</v>
      </c>
      <c r="C255" t="s">
        <v>25</v>
      </c>
      <c r="D255" t="s">
        <v>159</v>
      </c>
      <c r="E255" t="s">
        <v>316</v>
      </c>
      <c r="F255" t="s">
        <v>59</v>
      </c>
      <c r="G255" t="s">
        <v>1108</v>
      </c>
      <c r="H255" t="s">
        <v>668</v>
      </c>
      <c r="I255" t="s">
        <v>1099</v>
      </c>
      <c r="J255" t="s">
        <v>500</v>
      </c>
      <c r="K255" t="s">
        <v>402</v>
      </c>
      <c r="L255" t="s">
        <v>576</v>
      </c>
      <c r="M255" t="s">
        <v>42</v>
      </c>
      <c r="R255">
        <v>14.649703000000001</v>
      </c>
      <c r="S255">
        <v>11.679404999999999</v>
      </c>
    </row>
    <row r="256" spans="1:19">
      <c r="A256" t="s">
        <v>7</v>
      </c>
      <c r="B256" t="s">
        <v>145</v>
      </c>
      <c r="C256" t="s">
        <v>9</v>
      </c>
      <c r="D256" t="s">
        <v>160</v>
      </c>
      <c r="E256" t="s">
        <v>699</v>
      </c>
      <c r="G256" t="s">
        <v>1107</v>
      </c>
      <c r="I256" t="s">
        <v>1078</v>
      </c>
      <c r="J256" t="s">
        <v>420</v>
      </c>
      <c r="K256" t="s">
        <v>6</v>
      </c>
      <c r="L256" t="s">
        <v>409</v>
      </c>
      <c r="M256" t="s">
        <v>141</v>
      </c>
      <c r="N256" t="s">
        <v>10</v>
      </c>
      <c r="O256" t="s">
        <v>146</v>
      </c>
      <c r="P256" t="s">
        <v>17</v>
      </c>
      <c r="Q256" t="s">
        <v>168</v>
      </c>
    </row>
    <row r="257" spans="1:19">
      <c r="A257" t="s">
        <v>7</v>
      </c>
      <c r="B257" t="s">
        <v>145</v>
      </c>
      <c r="C257" t="s">
        <v>9</v>
      </c>
      <c r="D257" t="s">
        <v>160</v>
      </c>
      <c r="E257" t="s">
        <v>704</v>
      </c>
      <c r="G257" t="s">
        <v>1107</v>
      </c>
      <c r="I257" t="s">
        <v>1078</v>
      </c>
      <c r="J257" t="s">
        <v>420</v>
      </c>
      <c r="K257" t="s">
        <v>6</v>
      </c>
      <c r="L257" t="s">
        <v>409</v>
      </c>
      <c r="M257" t="s">
        <v>141</v>
      </c>
      <c r="N257" t="s">
        <v>10</v>
      </c>
      <c r="O257" t="s">
        <v>146</v>
      </c>
      <c r="P257" t="s">
        <v>17</v>
      </c>
      <c r="Q257" t="s">
        <v>168</v>
      </c>
    </row>
    <row r="258" spans="1:19">
      <c r="A258" t="s">
        <v>7</v>
      </c>
      <c r="B258" t="s">
        <v>145</v>
      </c>
      <c r="C258" t="s">
        <v>9</v>
      </c>
      <c r="D258" t="s">
        <v>160</v>
      </c>
      <c r="E258" t="s">
        <v>201</v>
      </c>
      <c r="G258" t="s">
        <v>1107</v>
      </c>
      <c r="I258" t="s">
        <v>1078</v>
      </c>
      <c r="J258" t="s">
        <v>420</v>
      </c>
      <c r="K258" t="s">
        <v>6</v>
      </c>
      <c r="L258" t="s">
        <v>409</v>
      </c>
      <c r="M258" t="s">
        <v>141</v>
      </c>
      <c r="N258" t="s">
        <v>7</v>
      </c>
      <c r="O258" t="s">
        <v>145</v>
      </c>
      <c r="P258" t="s">
        <v>9</v>
      </c>
      <c r="Q258" t="s">
        <v>160</v>
      </c>
    </row>
    <row r="259" spans="1:19">
      <c r="A259" t="s">
        <v>7</v>
      </c>
      <c r="B259" t="s">
        <v>145</v>
      </c>
      <c r="C259" t="s">
        <v>9</v>
      </c>
      <c r="D259" t="s">
        <v>160</v>
      </c>
      <c r="E259" t="s">
        <v>698</v>
      </c>
      <c r="G259" t="s">
        <v>1107</v>
      </c>
      <c r="I259" t="s">
        <v>1078</v>
      </c>
      <c r="J259" t="s">
        <v>420</v>
      </c>
      <c r="K259" t="s">
        <v>6</v>
      </c>
      <c r="L259" t="s">
        <v>409</v>
      </c>
      <c r="M259" t="s">
        <v>141</v>
      </c>
      <c r="N259" t="s">
        <v>7</v>
      </c>
      <c r="O259" t="s">
        <v>145</v>
      </c>
      <c r="P259" t="s">
        <v>9</v>
      </c>
      <c r="Q259" t="s">
        <v>160</v>
      </c>
    </row>
    <row r="260" spans="1:19">
      <c r="A260" t="s">
        <v>7</v>
      </c>
      <c r="B260" t="s">
        <v>145</v>
      </c>
      <c r="C260" t="s">
        <v>9</v>
      </c>
      <c r="D260" t="s">
        <v>160</v>
      </c>
      <c r="E260" t="s">
        <v>263</v>
      </c>
      <c r="F260" t="s">
        <v>262</v>
      </c>
      <c r="G260" t="s">
        <v>1107</v>
      </c>
      <c r="I260" t="s">
        <v>1078</v>
      </c>
      <c r="J260" t="s">
        <v>420</v>
      </c>
      <c r="K260" t="s">
        <v>6</v>
      </c>
      <c r="L260" t="s">
        <v>409</v>
      </c>
      <c r="M260" t="s">
        <v>141</v>
      </c>
      <c r="N260" t="s">
        <v>7</v>
      </c>
      <c r="O260" t="s">
        <v>145</v>
      </c>
      <c r="P260" t="s">
        <v>9</v>
      </c>
      <c r="Q260" t="s">
        <v>160</v>
      </c>
      <c r="R260">
        <v>15.049159</v>
      </c>
      <c r="S260">
        <v>11.039602</v>
      </c>
    </row>
    <row r="261" spans="1:19">
      <c r="A261" t="s">
        <v>7</v>
      </c>
      <c r="B261" t="s">
        <v>145</v>
      </c>
      <c r="C261" t="s">
        <v>9</v>
      </c>
      <c r="D261" t="s">
        <v>160</v>
      </c>
      <c r="E261" t="s">
        <v>702</v>
      </c>
      <c r="F261" t="s">
        <v>703</v>
      </c>
      <c r="G261" t="s">
        <v>1107</v>
      </c>
      <c r="I261" t="s">
        <v>1078</v>
      </c>
      <c r="J261" t="s">
        <v>420</v>
      </c>
      <c r="K261" t="s">
        <v>6</v>
      </c>
      <c r="L261" t="s">
        <v>409</v>
      </c>
      <c r="M261" t="s">
        <v>141</v>
      </c>
      <c r="N261" t="s">
        <v>10</v>
      </c>
      <c r="O261" t="s">
        <v>146</v>
      </c>
      <c r="P261" t="s">
        <v>17</v>
      </c>
      <c r="Q261" t="s">
        <v>168</v>
      </c>
      <c r="R261">
        <v>14.518484000000001</v>
      </c>
      <c r="S261">
        <v>12.350113</v>
      </c>
    </row>
    <row r="262" spans="1:19">
      <c r="A262" t="s">
        <v>7</v>
      </c>
      <c r="B262" t="s">
        <v>145</v>
      </c>
      <c r="C262" t="s">
        <v>9</v>
      </c>
      <c r="D262" t="s">
        <v>160</v>
      </c>
      <c r="E262" t="s">
        <v>285</v>
      </c>
      <c r="F262" t="s">
        <v>284</v>
      </c>
      <c r="G262" t="s">
        <v>1107</v>
      </c>
      <c r="I262" t="s">
        <v>1078</v>
      </c>
      <c r="J262" t="s">
        <v>420</v>
      </c>
      <c r="K262" t="s">
        <v>6</v>
      </c>
      <c r="L262" t="s">
        <v>409</v>
      </c>
      <c r="M262" t="s">
        <v>141</v>
      </c>
      <c r="N262" t="s">
        <v>7</v>
      </c>
      <c r="O262" t="s">
        <v>145</v>
      </c>
      <c r="P262" t="s">
        <v>9</v>
      </c>
      <c r="Q262" t="s">
        <v>160</v>
      </c>
      <c r="R262">
        <v>14.948884</v>
      </c>
      <c r="S262">
        <v>11.11472</v>
      </c>
    </row>
    <row r="263" spans="1:19">
      <c r="A263" t="s">
        <v>7</v>
      </c>
      <c r="B263" t="s">
        <v>145</v>
      </c>
      <c r="C263" t="s">
        <v>9</v>
      </c>
      <c r="D263" t="s">
        <v>160</v>
      </c>
      <c r="E263" t="s">
        <v>292</v>
      </c>
      <c r="F263" t="s">
        <v>67</v>
      </c>
      <c r="G263" t="s">
        <v>1107</v>
      </c>
      <c r="I263" t="s">
        <v>1078</v>
      </c>
      <c r="J263" t="s">
        <v>420</v>
      </c>
      <c r="K263" t="s">
        <v>6</v>
      </c>
      <c r="L263" t="s">
        <v>409</v>
      </c>
      <c r="M263" t="s">
        <v>141</v>
      </c>
      <c r="N263" t="s">
        <v>7</v>
      </c>
      <c r="O263" t="s">
        <v>145</v>
      </c>
      <c r="P263" t="s">
        <v>9</v>
      </c>
      <c r="Q263" t="s">
        <v>160</v>
      </c>
      <c r="R263">
        <v>15.006435</v>
      </c>
      <c r="S263">
        <v>11.399074000000001</v>
      </c>
    </row>
    <row r="264" spans="1:19">
      <c r="A264" t="s">
        <v>7</v>
      </c>
      <c r="B264" t="s">
        <v>145</v>
      </c>
      <c r="C264" t="s">
        <v>9</v>
      </c>
      <c r="D264" t="s">
        <v>160</v>
      </c>
      <c r="E264" t="s">
        <v>700</v>
      </c>
      <c r="F264" t="s">
        <v>701</v>
      </c>
      <c r="G264" t="s">
        <v>1107</v>
      </c>
      <c r="I264" t="s">
        <v>1078</v>
      </c>
      <c r="J264" t="s">
        <v>420</v>
      </c>
      <c r="K264" t="s">
        <v>6</v>
      </c>
      <c r="L264" t="s">
        <v>409</v>
      </c>
      <c r="M264" t="s">
        <v>141</v>
      </c>
      <c r="N264" t="s">
        <v>10</v>
      </c>
      <c r="O264" t="s">
        <v>146</v>
      </c>
      <c r="P264" t="s">
        <v>17</v>
      </c>
      <c r="Q264" t="s">
        <v>168</v>
      </c>
      <c r="R264">
        <v>15.050468</v>
      </c>
      <c r="S264">
        <v>11.054335</v>
      </c>
    </row>
    <row r="265" spans="1:19">
      <c r="A265" t="s">
        <v>10</v>
      </c>
      <c r="B265" t="s">
        <v>146</v>
      </c>
      <c r="C265" t="s">
        <v>20</v>
      </c>
      <c r="D265" t="s">
        <v>171</v>
      </c>
      <c r="E265" t="s">
        <v>798</v>
      </c>
      <c r="G265" t="s">
        <v>1107</v>
      </c>
      <c r="I265" t="s">
        <v>1078</v>
      </c>
      <c r="J265" t="s">
        <v>420</v>
      </c>
      <c r="K265" t="s">
        <v>6</v>
      </c>
      <c r="L265" t="s">
        <v>409</v>
      </c>
      <c r="M265" t="s">
        <v>141</v>
      </c>
      <c r="N265" t="s">
        <v>10</v>
      </c>
      <c r="O265" t="s">
        <v>146</v>
      </c>
      <c r="P265" t="s">
        <v>20</v>
      </c>
      <c r="Q265" t="s">
        <v>171</v>
      </c>
    </row>
    <row r="266" spans="1:19">
      <c r="A266" t="s">
        <v>10</v>
      </c>
      <c r="B266" t="s">
        <v>146</v>
      </c>
      <c r="C266" t="s">
        <v>20</v>
      </c>
      <c r="D266" t="s">
        <v>171</v>
      </c>
      <c r="E266" t="s">
        <v>801</v>
      </c>
      <c r="G266" t="s">
        <v>1107</v>
      </c>
      <c r="I266" t="s">
        <v>1099</v>
      </c>
      <c r="J266" t="s">
        <v>420</v>
      </c>
      <c r="K266" t="s">
        <v>6</v>
      </c>
      <c r="L266" t="s">
        <v>409</v>
      </c>
      <c r="M266" t="s">
        <v>141</v>
      </c>
      <c r="N266" t="s">
        <v>10</v>
      </c>
      <c r="O266" t="s">
        <v>146</v>
      </c>
      <c r="P266" t="s">
        <v>20</v>
      </c>
      <c r="Q266" t="s">
        <v>171</v>
      </c>
    </row>
    <row r="267" spans="1:19">
      <c r="A267" t="s">
        <v>10</v>
      </c>
      <c r="B267" t="s">
        <v>146</v>
      </c>
      <c r="C267" t="s">
        <v>20</v>
      </c>
      <c r="D267" t="s">
        <v>171</v>
      </c>
      <c r="E267" t="s">
        <v>815</v>
      </c>
      <c r="G267" t="s">
        <v>1108</v>
      </c>
      <c r="H267" t="s">
        <v>388</v>
      </c>
      <c r="I267" t="s">
        <v>1099</v>
      </c>
      <c r="J267" t="s">
        <v>420</v>
      </c>
      <c r="K267" t="s">
        <v>6</v>
      </c>
      <c r="L267" t="s">
        <v>409</v>
      </c>
      <c r="M267" t="s">
        <v>141</v>
      </c>
      <c r="N267" t="s">
        <v>10</v>
      </c>
      <c r="O267" t="s">
        <v>146</v>
      </c>
      <c r="P267" t="s">
        <v>20</v>
      </c>
      <c r="Q267" t="s">
        <v>171</v>
      </c>
    </row>
    <row r="268" spans="1:19">
      <c r="A268" t="s">
        <v>10</v>
      </c>
      <c r="B268" t="s">
        <v>146</v>
      </c>
      <c r="C268" t="s">
        <v>20</v>
      </c>
      <c r="D268" t="s">
        <v>171</v>
      </c>
      <c r="E268" t="s">
        <v>810</v>
      </c>
      <c r="G268" t="s">
        <v>1108</v>
      </c>
      <c r="H268" t="s">
        <v>807</v>
      </c>
      <c r="I268" t="s">
        <v>1099</v>
      </c>
      <c r="J268" t="s">
        <v>420</v>
      </c>
      <c r="K268" t="s">
        <v>6</v>
      </c>
      <c r="L268" t="s">
        <v>409</v>
      </c>
      <c r="M268" t="s">
        <v>141</v>
      </c>
      <c r="N268" t="s">
        <v>10</v>
      </c>
      <c r="O268" t="s">
        <v>146</v>
      </c>
      <c r="P268" t="s">
        <v>20</v>
      </c>
      <c r="Q268" t="s">
        <v>171</v>
      </c>
    </row>
    <row r="269" spans="1:19">
      <c r="A269" t="s">
        <v>10</v>
      </c>
      <c r="B269" t="s">
        <v>146</v>
      </c>
      <c r="C269" t="s">
        <v>20</v>
      </c>
      <c r="D269" t="s">
        <v>171</v>
      </c>
      <c r="E269" t="s">
        <v>802</v>
      </c>
      <c r="G269" t="s">
        <v>1107</v>
      </c>
      <c r="I269" t="s">
        <v>1078</v>
      </c>
      <c r="J269" t="s">
        <v>420</v>
      </c>
      <c r="K269" t="s">
        <v>6</v>
      </c>
      <c r="L269" t="s">
        <v>409</v>
      </c>
      <c r="M269" t="s">
        <v>141</v>
      </c>
      <c r="N269" t="s">
        <v>10</v>
      </c>
      <c r="O269" t="s">
        <v>146</v>
      </c>
      <c r="P269" t="s">
        <v>20</v>
      </c>
      <c r="Q269" t="s">
        <v>171</v>
      </c>
    </row>
    <row r="270" spans="1:19">
      <c r="A270" t="s">
        <v>10</v>
      </c>
      <c r="B270" t="s">
        <v>146</v>
      </c>
      <c r="C270" t="s">
        <v>20</v>
      </c>
      <c r="D270" t="s">
        <v>171</v>
      </c>
      <c r="E270" t="s">
        <v>799</v>
      </c>
      <c r="G270" t="s">
        <v>1107</v>
      </c>
      <c r="I270" t="s">
        <v>1078</v>
      </c>
      <c r="J270" t="s">
        <v>420</v>
      </c>
      <c r="K270" t="s">
        <v>6</v>
      </c>
      <c r="L270" t="s">
        <v>409</v>
      </c>
      <c r="M270" t="s">
        <v>141</v>
      </c>
      <c r="N270" t="s">
        <v>10</v>
      </c>
      <c r="O270" t="s">
        <v>146</v>
      </c>
      <c r="P270" t="s">
        <v>20</v>
      </c>
      <c r="Q270" t="s">
        <v>171</v>
      </c>
    </row>
    <row r="271" spans="1:19">
      <c r="A271" t="s">
        <v>10</v>
      </c>
      <c r="B271" t="s">
        <v>146</v>
      </c>
      <c r="C271" t="s">
        <v>20</v>
      </c>
      <c r="D271" t="s">
        <v>171</v>
      </c>
      <c r="E271" t="s">
        <v>800</v>
      </c>
      <c r="G271" t="s">
        <v>1107</v>
      </c>
      <c r="I271" t="s">
        <v>1078</v>
      </c>
      <c r="J271" t="s">
        <v>420</v>
      </c>
      <c r="K271" t="s">
        <v>6</v>
      </c>
      <c r="L271" t="s">
        <v>409</v>
      </c>
      <c r="M271" t="s">
        <v>141</v>
      </c>
      <c r="N271" t="s">
        <v>10</v>
      </c>
      <c r="O271" t="s">
        <v>146</v>
      </c>
      <c r="P271" t="s">
        <v>20</v>
      </c>
      <c r="Q271" t="s">
        <v>171</v>
      </c>
    </row>
    <row r="272" spans="1:19">
      <c r="A272" t="s">
        <v>10</v>
      </c>
      <c r="B272" t="s">
        <v>146</v>
      </c>
      <c r="C272" t="s">
        <v>20</v>
      </c>
      <c r="D272" t="s">
        <v>171</v>
      </c>
      <c r="E272" t="s">
        <v>803</v>
      </c>
      <c r="G272" t="s">
        <v>1107</v>
      </c>
      <c r="I272" t="s">
        <v>1078</v>
      </c>
      <c r="J272" t="s">
        <v>420</v>
      </c>
      <c r="K272" t="s">
        <v>6</v>
      </c>
      <c r="L272" t="s">
        <v>409</v>
      </c>
      <c r="M272" t="s">
        <v>141</v>
      </c>
      <c r="N272" t="s">
        <v>10</v>
      </c>
      <c r="O272" t="s">
        <v>146</v>
      </c>
      <c r="P272" t="s">
        <v>20</v>
      </c>
      <c r="Q272" t="s">
        <v>171</v>
      </c>
    </row>
    <row r="273" spans="1:19">
      <c r="A273" t="s">
        <v>10</v>
      </c>
      <c r="B273" t="s">
        <v>146</v>
      </c>
      <c r="C273" t="s">
        <v>20</v>
      </c>
      <c r="D273" t="s">
        <v>171</v>
      </c>
      <c r="E273" t="s">
        <v>202</v>
      </c>
      <c r="G273" t="s">
        <v>1107</v>
      </c>
      <c r="I273" t="s">
        <v>1099</v>
      </c>
      <c r="J273" t="s">
        <v>420</v>
      </c>
      <c r="K273" t="s">
        <v>6</v>
      </c>
      <c r="L273" t="s">
        <v>409</v>
      </c>
      <c r="M273" t="s">
        <v>141</v>
      </c>
      <c r="N273" t="s">
        <v>10</v>
      </c>
      <c r="O273" t="s">
        <v>146</v>
      </c>
      <c r="P273" t="s">
        <v>20</v>
      </c>
      <c r="Q273" t="s">
        <v>171</v>
      </c>
    </row>
    <row r="274" spans="1:19">
      <c r="A274" t="s">
        <v>10</v>
      </c>
      <c r="B274" t="s">
        <v>146</v>
      </c>
      <c r="C274" t="s">
        <v>20</v>
      </c>
      <c r="D274" t="s">
        <v>171</v>
      </c>
      <c r="E274" t="s">
        <v>806</v>
      </c>
      <c r="G274" t="s">
        <v>1108</v>
      </c>
      <c r="H274" t="s">
        <v>807</v>
      </c>
      <c r="I274" t="s">
        <v>1099</v>
      </c>
      <c r="J274" t="s">
        <v>420</v>
      </c>
      <c r="K274" t="s">
        <v>6</v>
      </c>
      <c r="L274" t="s">
        <v>409</v>
      </c>
      <c r="M274" t="s">
        <v>141</v>
      </c>
      <c r="N274" t="s">
        <v>10</v>
      </c>
      <c r="O274" t="s">
        <v>146</v>
      </c>
      <c r="P274" t="s">
        <v>20</v>
      </c>
      <c r="Q274" t="s">
        <v>171</v>
      </c>
    </row>
    <row r="275" spans="1:19">
      <c r="A275" t="s">
        <v>10</v>
      </c>
      <c r="B275" t="s">
        <v>146</v>
      </c>
      <c r="C275" t="s">
        <v>20</v>
      </c>
      <c r="D275" t="s">
        <v>171</v>
      </c>
      <c r="E275" t="s">
        <v>795</v>
      </c>
      <c r="G275" t="s">
        <v>1107</v>
      </c>
      <c r="I275" t="s">
        <v>1099</v>
      </c>
      <c r="J275" t="s">
        <v>420</v>
      </c>
      <c r="K275" t="s">
        <v>6</v>
      </c>
      <c r="L275" t="s">
        <v>409</v>
      </c>
      <c r="M275" t="s">
        <v>141</v>
      </c>
      <c r="N275" t="s">
        <v>10</v>
      </c>
      <c r="O275" t="s">
        <v>146</v>
      </c>
      <c r="P275" t="s">
        <v>20</v>
      </c>
      <c r="Q275" t="s">
        <v>171</v>
      </c>
    </row>
    <row r="276" spans="1:19">
      <c r="A276" t="s">
        <v>10</v>
      </c>
      <c r="B276" t="s">
        <v>146</v>
      </c>
      <c r="C276" t="s">
        <v>20</v>
      </c>
      <c r="D276" t="s">
        <v>171</v>
      </c>
      <c r="E276" t="s">
        <v>804</v>
      </c>
      <c r="G276" t="s">
        <v>1108</v>
      </c>
      <c r="H276" t="s">
        <v>805</v>
      </c>
      <c r="I276" t="s">
        <v>1078</v>
      </c>
      <c r="J276" t="s">
        <v>420</v>
      </c>
      <c r="K276" t="s">
        <v>6</v>
      </c>
      <c r="L276" t="s">
        <v>409</v>
      </c>
      <c r="M276" t="s">
        <v>141</v>
      </c>
      <c r="N276" t="s">
        <v>10</v>
      </c>
      <c r="O276" t="s">
        <v>146</v>
      </c>
      <c r="P276" t="s">
        <v>20</v>
      </c>
      <c r="Q276" t="s">
        <v>171</v>
      </c>
    </row>
    <row r="277" spans="1:19">
      <c r="A277" t="s">
        <v>10</v>
      </c>
      <c r="B277" t="s">
        <v>146</v>
      </c>
      <c r="C277" t="s">
        <v>20</v>
      </c>
      <c r="D277" t="s">
        <v>171</v>
      </c>
      <c r="E277" t="s">
        <v>203</v>
      </c>
      <c r="G277" t="s">
        <v>1107</v>
      </c>
      <c r="I277" t="s">
        <v>1078</v>
      </c>
      <c r="J277" t="s">
        <v>420</v>
      </c>
      <c r="K277" t="s">
        <v>6</v>
      </c>
      <c r="L277" t="s">
        <v>409</v>
      </c>
      <c r="M277" t="s">
        <v>141</v>
      </c>
      <c r="N277" t="s">
        <v>10</v>
      </c>
      <c r="O277" t="s">
        <v>146</v>
      </c>
      <c r="P277" t="s">
        <v>20</v>
      </c>
      <c r="Q277" t="s">
        <v>171</v>
      </c>
    </row>
    <row r="278" spans="1:19">
      <c r="A278" t="s">
        <v>10</v>
      </c>
      <c r="B278" t="s">
        <v>146</v>
      </c>
      <c r="C278" t="s">
        <v>20</v>
      </c>
      <c r="D278" t="s">
        <v>171</v>
      </c>
      <c r="E278" t="s">
        <v>813</v>
      </c>
      <c r="G278" t="s">
        <v>1108</v>
      </c>
      <c r="H278" t="s">
        <v>814</v>
      </c>
      <c r="I278" t="s">
        <v>1099</v>
      </c>
      <c r="J278" t="s">
        <v>420</v>
      </c>
      <c r="K278" t="s">
        <v>6</v>
      </c>
      <c r="L278" t="s">
        <v>409</v>
      </c>
      <c r="M278" t="s">
        <v>141</v>
      </c>
      <c r="N278" t="s">
        <v>10</v>
      </c>
      <c r="O278" t="s">
        <v>146</v>
      </c>
      <c r="P278" t="s">
        <v>20</v>
      </c>
      <c r="Q278" t="s">
        <v>171</v>
      </c>
    </row>
    <row r="279" spans="1:19">
      <c r="A279" t="s">
        <v>10</v>
      </c>
      <c r="B279" t="s">
        <v>146</v>
      </c>
      <c r="C279" t="s">
        <v>20</v>
      </c>
      <c r="D279" t="s">
        <v>171</v>
      </c>
      <c r="E279" t="s">
        <v>820</v>
      </c>
      <c r="F279" t="s">
        <v>821</v>
      </c>
      <c r="G279" t="s">
        <v>1108</v>
      </c>
      <c r="H279" t="s">
        <v>807</v>
      </c>
      <c r="I279" t="s">
        <v>1078</v>
      </c>
      <c r="J279" t="s">
        <v>420</v>
      </c>
      <c r="K279" t="s">
        <v>6</v>
      </c>
      <c r="L279" t="s">
        <v>409</v>
      </c>
      <c r="M279" t="s">
        <v>141</v>
      </c>
      <c r="N279" t="s">
        <v>10</v>
      </c>
      <c r="O279" t="s">
        <v>146</v>
      </c>
      <c r="P279" t="s">
        <v>20</v>
      </c>
      <c r="Q279" t="s">
        <v>171</v>
      </c>
      <c r="R279">
        <v>15.563426</v>
      </c>
      <c r="S279">
        <v>10.034986999999999</v>
      </c>
    </row>
    <row r="280" spans="1:19">
      <c r="A280" t="s">
        <v>10</v>
      </c>
      <c r="B280" t="s">
        <v>146</v>
      </c>
      <c r="C280" t="s">
        <v>20</v>
      </c>
      <c r="D280" t="s">
        <v>171</v>
      </c>
      <c r="E280" t="s">
        <v>808</v>
      </c>
      <c r="F280" t="s">
        <v>809</v>
      </c>
      <c r="G280" t="s">
        <v>1108</v>
      </c>
      <c r="H280" t="s">
        <v>388</v>
      </c>
      <c r="I280" t="s">
        <v>1099</v>
      </c>
      <c r="J280" t="s">
        <v>420</v>
      </c>
      <c r="K280" t="s">
        <v>6</v>
      </c>
      <c r="L280" t="s">
        <v>409</v>
      </c>
      <c r="M280" t="s">
        <v>141</v>
      </c>
      <c r="N280" t="s">
        <v>10</v>
      </c>
      <c r="O280" t="s">
        <v>146</v>
      </c>
      <c r="P280" t="s">
        <v>20</v>
      </c>
      <c r="Q280" t="s">
        <v>171</v>
      </c>
      <c r="R280">
        <v>15.452692000000001</v>
      </c>
      <c r="S280">
        <v>9.9831289999999999</v>
      </c>
    </row>
    <row r="281" spans="1:19">
      <c r="A281" t="s">
        <v>10</v>
      </c>
      <c r="B281" t="s">
        <v>146</v>
      </c>
      <c r="C281" t="s">
        <v>20</v>
      </c>
      <c r="D281" t="s">
        <v>171</v>
      </c>
      <c r="E281" t="s">
        <v>811</v>
      </c>
      <c r="F281" t="s">
        <v>812</v>
      </c>
      <c r="G281" t="s">
        <v>1108</v>
      </c>
      <c r="H281" t="s">
        <v>807</v>
      </c>
      <c r="I281" t="s">
        <v>1099</v>
      </c>
      <c r="J281" t="s">
        <v>420</v>
      </c>
      <c r="K281" t="s">
        <v>6</v>
      </c>
      <c r="L281" t="s">
        <v>409</v>
      </c>
      <c r="M281" t="s">
        <v>141</v>
      </c>
      <c r="N281" t="s">
        <v>10</v>
      </c>
      <c r="O281" t="s">
        <v>146</v>
      </c>
      <c r="P281" t="s">
        <v>20</v>
      </c>
      <c r="Q281" t="s">
        <v>171</v>
      </c>
      <c r="R281">
        <v>15.459102</v>
      </c>
      <c r="S281">
        <v>10.026133</v>
      </c>
    </row>
    <row r="282" spans="1:19">
      <c r="A282" t="s">
        <v>10</v>
      </c>
      <c r="B282" t="s">
        <v>146</v>
      </c>
      <c r="C282" t="s">
        <v>20</v>
      </c>
      <c r="D282" t="s">
        <v>171</v>
      </c>
      <c r="E282" t="s">
        <v>824</v>
      </c>
      <c r="F282" t="s">
        <v>825</v>
      </c>
      <c r="G282" t="s">
        <v>1107</v>
      </c>
      <c r="I282" t="s">
        <v>1099</v>
      </c>
      <c r="J282" t="s">
        <v>420</v>
      </c>
      <c r="K282" t="s">
        <v>6</v>
      </c>
      <c r="L282" t="s">
        <v>409</v>
      </c>
      <c r="M282" t="s">
        <v>141</v>
      </c>
      <c r="N282" t="s">
        <v>10</v>
      </c>
      <c r="O282" t="s">
        <v>146</v>
      </c>
      <c r="P282" t="s">
        <v>20</v>
      </c>
      <c r="Q282" t="s">
        <v>171</v>
      </c>
      <c r="R282">
        <v>15.4246</v>
      </c>
      <c r="S282">
        <v>9.9625000000000004</v>
      </c>
    </row>
    <row r="283" spans="1:19">
      <c r="A283" t="s">
        <v>10</v>
      </c>
      <c r="B283" t="s">
        <v>146</v>
      </c>
      <c r="C283" t="s">
        <v>20</v>
      </c>
      <c r="D283" t="s">
        <v>171</v>
      </c>
      <c r="E283" t="s">
        <v>794</v>
      </c>
      <c r="F283" t="s">
        <v>87</v>
      </c>
      <c r="G283" t="s">
        <v>1107</v>
      </c>
      <c r="I283" t="s">
        <v>1099</v>
      </c>
      <c r="J283" t="s">
        <v>420</v>
      </c>
      <c r="K283" t="s">
        <v>6</v>
      </c>
      <c r="L283" t="s">
        <v>409</v>
      </c>
      <c r="M283" t="s">
        <v>141</v>
      </c>
      <c r="N283" t="s">
        <v>10</v>
      </c>
      <c r="O283" t="s">
        <v>146</v>
      </c>
      <c r="P283" t="s">
        <v>20</v>
      </c>
      <c r="Q283" t="s">
        <v>171</v>
      </c>
      <c r="R283">
        <v>15.422542999999999</v>
      </c>
      <c r="S283">
        <v>9.9970090000000003</v>
      </c>
    </row>
    <row r="284" spans="1:19">
      <c r="A284" t="s">
        <v>10</v>
      </c>
      <c r="B284" t="s">
        <v>146</v>
      </c>
      <c r="C284" t="s">
        <v>20</v>
      </c>
      <c r="D284" t="s">
        <v>171</v>
      </c>
      <c r="E284" t="s">
        <v>322</v>
      </c>
      <c r="F284" t="s">
        <v>88</v>
      </c>
      <c r="G284" t="s">
        <v>1107</v>
      </c>
      <c r="I284" t="s">
        <v>1078</v>
      </c>
      <c r="J284" t="s">
        <v>420</v>
      </c>
      <c r="K284" t="s">
        <v>6</v>
      </c>
      <c r="L284" t="s">
        <v>409</v>
      </c>
      <c r="M284" t="s">
        <v>141</v>
      </c>
      <c r="N284" t="s">
        <v>10</v>
      </c>
      <c r="O284" t="s">
        <v>146</v>
      </c>
      <c r="P284" t="s">
        <v>20</v>
      </c>
      <c r="Q284" t="s">
        <v>171</v>
      </c>
      <c r="R284">
        <v>15.428944</v>
      </c>
      <c r="S284">
        <v>10.180332</v>
      </c>
    </row>
    <row r="285" spans="1:19">
      <c r="A285" t="s">
        <v>10</v>
      </c>
      <c r="B285" t="s">
        <v>146</v>
      </c>
      <c r="C285" t="s">
        <v>20</v>
      </c>
      <c r="D285" t="s">
        <v>171</v>
      </c>
      <c r="E285" t="s">
        <v>816</v>
      </c>
      <c r="F285" t="s">
        <v>817</v>
      </c>
      <c r="G285" t="s">
        <v>1108</v>
      </c>
      <c r="H285" t="s">
        <v>388</v>
      </c>
      <c r="I285" t="s">
        <v>1078</v>
      </c>
      <c r="J285" t="s">
        <v>420</v>
      </c>
      <c r="K285" t="s">
        <v>6</v>
      </c>
      <c r="L285" t="s">
        <v>409</v>
      </c>
      <c r="M285" t="s">
        <v>141</v>
      </c>
      <c r="N285" t="s">
        <v>10</v>
      </c>
      <c r="O285" t="s">
        <v>146</v>
      </c>
      <c r="P285" t="s">
        <v>20</v>
      </c>
      <c r="Q285" t="s">
        <v>171</v>
      </c>
      <c r="R285">
        <v>15.374499999999999</v>
      </c>
      <c r="S285">
        <v>9.9917999999999996</v>
      </c>
    </row>
    <row r="286" spans="1:19">
      <c r="A286" t="s">
        <v>10</v>
      </c>
      <c r="B286" t="s">
        <v>146</v>
      </c>
      <c r="C286" t="s">
        <v>20</v>
      </c>
      <c r="D286" t="s">
        <v>171</v>
      </c>
      <c r="E286" t="s">
        <v>822</v>
      </c>
      <c r="F286" t="s">
        <v>823</v>
      </c>
      <c r="G286" t="s">
        <v>1107</v>
      </c>
      <c r="I286" t="s">
        <v>1099</v>
      </c>
      <c r="J286" t="s">
        <v>420</v>
      </c>
      <c r="K286" t="s">
        <v>6</v>
      </c>
      <c r="L286" t="s">
        <v>409</v>
      </c>
      <c r="M286" t="s">
        <v>141</v>
      </c>
      <c r="N286" t="s">
        <v>10</v>
      </c>
      <c r="O286" t="s">
        <v>146</v>
      </c>
      <c r="P286" t="s">
        <v>20</v>
      </c>
      <c r="Q286" t="s">
        <v>171</v>
      </c>
      <c r="R286">
        <v>15.502114000000001</v>
      </c>
      <c r="S286">
        <v>10.087787000000001</v>
      </c>
    </row>
    <row r="287" spans="1:19">
      <c r="A287" t="s">
        <v>10</v>
      </c>
      <c r="B287" t="s">
        <v>146</v>
      </c>
      <c r="C287" t="s">
        <v>20</v>
      </c>
      <c r="D287" t="s">
        <v>171</v>
      </c>
      <c r="E287" t="s">
        <v>792</v>
      </c>
      <c r="F287" t="s">
        <v>793</v>
      </c>
      <c r="G287" t="s">
        <v>1107</v>
      </c>
      <c r="I287" t="s">
        <v>1099</v>
      </c>
      <c r="J287" t="s">
        <v>420</v>
      </c>
      <c r="K287" t="s">
        <v>6</v>
      </c>
      <c r="L287" t="s">
        <v>409</v>
      </c>
      <c r="M287" t="s">
        <v>141</v>
      </c>
      <c r="N287" t="s">
        <v>10</v>
      </c>
      <c r="O287" t="s">
        <v>146</v>
      </c>
      <c r="P287" t="s">
        <v>20</v>
      </c>
      <c r="Q287" t="s">
        <v>171</v>
      </c>
      <c r="R287">
        <v>15.401916999999999</v>
      </c>
      <c r="S287">
        <v>9.9849599999999992</v>
      </c>
    </row>
    <row r="288" spans="1:19">
      <c r="A288" t="s">
        <v>10</v>
      </c>
      <c r="B288" t="s">
        <v>146</v>
      </c>
      <c r="C288" t="s">
        <v>20</v>
      </c>
      <c r="D288" t="s">
        <v>171</v>
      </c>
      <c r="E288" t="s">
        <v>796</v>
      </c>
      <c r="F288" t="s">
        <v>797</v>
      </c>
      <c r="G288" t="s">
        <v>1107</v>
      </c>
      <c r="I288" t="s">
        <v>1078</v>
      </c>
      <c r="J288" t="s">
        <v>420</v>
      </c>
      <c r="K288" t="s">
        <v>6</v>
      </c>
      <c r="L288" t="s">
        <v>409</v>
      </c>
      <c r="M288" t="s">
        <v>141</v>
      </c>
      <c r="N288" t="s">
        <v>10</v>
      </c>
      <c r="O288" t="s">
        <v>146</v>
      </c>
      <c r="P288" t="s">
        <v>20</v>
      </c>
      <c r="Q288" t="s">
        <v>171</v>
      </c>
      <c r="R288">
        <v>15.585614</v>
      </c>
      <c r="S288">
        <v>10.028611</v>
      </c>
    </row>
    <row r="289" spans="1:19">
      <c r="A289" t="s">
        <v>10</v>
      </c>
      <c r="B289" t="s">
        <v>146</v>
      </c>
      <c r="C289" t="s">
        <v>20</v>
      </c>
      <c r="D289" t="s">
        <v>171</v>
      </c>
      <c r="E289" t="s">
        <v>818</v>
      </c>
      <c r="F289" t="s">
        <v>819</v>
      </c>
      <c r="G289" t="s">
        <v>1108</v>
      </c>
      <c r="H289" t="s">
        <v>388</v>
      </c>
      <c r="I289" t="s">
        <v>1078</v>
      </c>
      <c r="J289" t="s">
        <v>420</v>
      </c>
      <c r="K289" t="s">
        <v>6</v>
      </c>
      <c r="L289" t="s">
        <v>409</v>
      </c>
      <c r="M289" t="s">
        <v>141</v>
      </c>
      <c r="N289" t="s">
        <v>10</v>
      </c>
      <c r="O289" t="s">
        <v>146</v>
      </c>
      <c r="P289" t="s">
        <v>20</v>
      </c>
      <c r="Q289" t="s">
        <v>171</v>
      </c>
      <c r="R289">
        <v>15.523925999999999</v>
      </c>
      <c r="S289">
        <v>10.065308999999999</v>
      </c>
    </row>
    <row r="290" spans="1:19">
      <c r="A290" t="s">
        <v>10</v>
      </c>
      <c r="B290" t="s">
        <v>146</v>
      </c>
      <c r="C290" t="s">
        <v>136</v>
      </c>
      <c r="D290" t="s">
        <v>169</v>
      </c>
      <c r="E290" t="s">
        <v>204</v>
      </c>
      <c r="G290" t="s">
        <v>1107</v>
      </c>
      <c r="I290" t="s">
        <v>1078</v>
      </c>
      <c r="J290" t="s">
        <v>420</v>
      </c>
      <c r="K290" t="s">
        <v>6</v>
      </c>
      <c r="L290" t="s">
        <v>409</v>
      </c>
      <c r="M290" t="s">
        <v>141</v>
      </c>
      <c r="N290" t="s">
        <v>10</v>
      </c>
      <c r="O290" t="s">
        <v>146</v>
      </c>
      <c r="P290" t="s">
        <v>136</v>
      </c>
      <c r="Q290" t="s">
        <v>169</v>
      </c>
    </row>
    <row r="291" spans="1:19">
      <c r="A291" t="s">
        <v>10</v>
      </c>
      <c r="B291" t="s">
        <v>146</v>
      </c>
      <c r="C291" t="s">
        <v>136</v>
      </c>
      <c r="D291" t="s">
        <v>169</v>
      </c>
      <c r="E291" t="s">
        <v>204</v>
      </c>
      <c r="G291" t="s">
        <v>1107</v>
      </c>
      <c r="I291" t="s">
        <v>1099</v>
      </c>
      <c r="J291" t="s">
        <v>420</v>
      </c>
      <c r="K291" t="s">
        <v>6</v>
      </c>
      <c r="L291" t="s">
        <v>409</v>
      </c>
      <c r="M291" t="s">
        <v>141</v>
      </c>
      <c r="N291" t="s">
        <v>10</v>
      </c>
      <c r="O291" t="s">
        <v>146</v>
      </c>
      <c r="P291" t="s">
        <v>136</v>
      </c>
      <c r="Q291" t="s">
        <v>169</v>
      </c>
    </row>
    <row r="292" spans="1:19">
      <c r="A292" t="s">
        <v>10</v>
      </c>
      <c r="B292" t="s">
        <v>146</v>
      </c>
      <c r="C292" t="s">
        <v>136</v>
      </c>
      <c r="D292" t="s">
        <v>169</v>
      </c>
      <c r="F292" t="s">
        <v>854</v>
      </c>
      <c r="G292" t="s">
        <v>1107</v>
      </c>
      <c r="I292" t="s">
        <v>1078</v>
      </c>
      <c r="J292" t="s">
        <v>420</v>
      </c>
      <c r="K292" t="s">
        <v>6</v>
      </c>
      <c r="L292" t="s">
        <v>409</v>
      </c>
      <c r="M292" t="s">
        <v>141</v>
      </c>
      <c r="N292" t="s">
        <v>10</v>
      </c>
      <c r="O292" t="s">
        <v>146</v>
      </c>
      <c r="P292" t="s">
        <v>136</v>
      </c>
      <c r="Q292" t="s">
        <v>169</v>
      </c>
      <c r="R292">
        <v>15.176577</v>
      </c>
      <c r="S292">
        <v>10.503887000000001</v>
      </c>
    </row>
    <row r="293" spans="1:19">
      <c r="A293" t="s">
        <v>10</v>
      </c>
      <c r="B293" t="s">
        <v>146</v>
      </c>
      <c r="C293" t="s">
        <v>136</v>
      </c>
      <c r="D293" t="s">
        <v>169</v>
      </c>
      <c r="E293" t="s">
        <v>324</v>
      </c>
      <c r="F293" t="s">
        <v>84</v>
      </c>
      <c r="G293" t="s">
        <v>1107</v>
      </c>
      <c r="I293" t="s">
        <v>1078</v>
      </c>
      <c r="J293" t="s">
        <v>420</v>
      </c>
      <c r="K293" t="s">
        <v>6</v>
      </c>
      <c r="L293" t="s">
        <v>409</v>
      </c>
      <c r="M293" t="s">
        <v>141</v>
      </c>
      <c r="N293" t="s">
        <v>10</v>
      </c>
      <c r="O293" t="s">
        <v>146</v>
      </c>
      <c r="P293" t="s">
        <v>136</v>
      </c>
      <c r="Q293" t="s">
        <v>169</v>
      </c>
      <c r="R293">
        <v>15.153677</v>
      </c>
      <c r="S293">
        <v>10.510877000000001</v>
      </c>
    </row>
    <row r="294" spans="1:19">
      <c r="A294" t="s">
        <v>10</v>
      </c>
      <c r="B294" t="s">
        <v>146</v>
      </c>
      <c r="C294" t="s">
        <v>137</v>
      </c>
      <c r="D294" t="s">
        <v>170</v>
      </c>
      <c r="E294" t="s">
        <v>318</v>
      </c>
      <c r="F294" t="s">
        <v>317</v>
      </c>
      <c r="G294" t="s">
        <v>1107</v>
      </c>
      <c r="I294" t="s">
        <v>1078</v>
      </c>
      <c r="J294" t="s">
        <v>420</v>
      </c>
      <c r="K294" t="s">
        <v>6</v>
      </c>
      <c r="L294" t="s">
        <v>409</v>
      </c>
      <c r="M294" t="s">
        <v>141</v>
      </c>
      <c r="N294" t="s">
        <v>10</v>
      </c>
      <c r="O294" t="s">
        <v>146</v>
      </c>
      <c r="P294" t="s">
        <v>137</v>
      </c>
      <c r="Q294" t="s">
        <v>170</v>
      </c>
      <c r="R294">
        <v>15.271953</v>
      </c>
      <c r="S294">
        <v>10.031091999999999</v>
      </c>
    </row>
    <row r="295" spans="1:19">
      <c r="A295" t="s">
        <v>10</v>
      </c>
      <c r="B295" t="s">
        <v>146</v>
      </c>
      <c r="C295" t="s">
        <v>137</v>
      </c>
      <c r="D295" t="s">
        <v>170</v>
      </c>
      <c r="E295" t="s">
        <v>850</v>
      </c>
      <c r="G295" t="s">
        <v>1107</v>
      </c>
      <c r="I295" t="s">
        <v>1078</v>
      </c>
      <c r="J295" t="s">
        <v>420</v>
      </c>
      <c r="K295" t="s">
        <v>6</v>
      </c>
      <c r="L295" t="s">
        <v>409</v>
      </c>
      <c r="M295" t="s">
        <v>141</v>
      </c>
      <c r="N295" t="s">
        <v>10</v>
      </c>
      <c r="O295" t="s">
        <v>146</v>
      </c>
      <c r="P295" t="s">
        <v>137</v>
      </c>
      <c r="Q295" t="s">
        <v>170</v>
      </c>
    </row>
    <row r="296" spans="1:19">
      <c r="A296" t="s">
        <v>10</v>
      </c>
      <c r="B296" t="s">
        <v>146</v>
      </c>
      <c r="C296" t="s">
        <v>137</v>
      </c>
      <c r="D296" t="s">
        <v>170</v>
      </c>
      <c r="E296" t="s">
        <v>848</v>
      </c>
      <c r="G296" t="s">
        <v>1107</v>
      </c>
      <c r="I296" t="s">
        <v>1078</v>
      </c>
      <c r="J296" t="s">
        <v>420</v>
      </c>
      <c r="K296" t="s">
        <v>6</v>
      </c>
      <c r="L296" t="s">
        <v>409</v>
      </c>
      <c r="M296" t="s">
        <v>141</v>
      </c>
      <c r="N296" t="s">
        <v>10</v>
      </c>
      <c r="O296" t="s">
        <v>146</v>
      </c>
      <c r="P296" t="s">
        <v>137</v>
      </c>
      <c r="Q296" t="s">
        <v>170</v>
      </c>
    </row>
    <row r="297" spans="1:19">
      <c r="A297" t="s">
        <v>10</v>
      </c>
      <c r="B297" t="s">
        <v>146</v>
      </c>
      <c r="C297" t="s">
        <v>137</v>
      </c>
      <c r="D297" t="s">
        <v>170</v>
      </c>
      <c r="E297" t="s">
        <v>851</v>
      </c>
      <c r="G297" t="s">
        <v>1107</v>
      </c>
      <c r="I297" t="s">
        <v>1078</v>
      </c>
      <c r="J297" t="s">
        <v>420</v>
      </c>
      <c r="K297" t="s">
        <v>6</v>
      </c>
      <c r="L297" t="s">
        <v>409</v>
      </c>
      <c r="M297" t="s">
        <v>141</v>
      </c>
      <c r="N297" t="s">
        <v>10</v>
      </c>
      <c r="O297" t="s">
        <v>146</v>
      </c>
      <c r="P297" t="s">
        <v>137</v>
      </c>
      <c r="Q297" t="s">
        <v>170</v>
      </c>
    </row>
    <row r="298" spans="1:19">
      <c r="A298" t="s">
        <v>10</v>
      </c>
      <c r="B298" t="s">
        <v>146</v>
      </c>
      <c r="C298" t="s">
        <v>137</v>
      </c>
      <c r="D298" t="s">
        <v>170</v>
      </c>
      <c r="E298" t="s">
        <v>845</v>
      </c>
      <c r="G298" t="s">
        <v>1107</v>
      </c>
      <c r="I298" t="s">
        <v>1078</v>
      </c>
      <c r="J298" t="s">
        <v>420</v>
      </c>
      <c r="K298" t="s">
        <v>6</v>
      </c>
      <c r="L298" t="s">
        <v>409</v>
      </c>
      <c r="M298" t="s">
        <v>141</v>
      </c>
      <c r="N298" t="s">
        <v>10</v>
      </c>
      <c r="O298" t="s">
        <v>146</v>
      </c>
      <c r="P298" t="s">
        <v>137</v>
      </c>
      <c r="Q298" t="s">
        <v>170</v>
      </c>
    </row>
    <row r="299" spans="1:19">
      <c r="A299" t="s">
        <v>10</v>
      </c>
      <c r="B299" t="s">
        <v>146</v>
      </c>
      <c r="C299" t="s">
        <v>137</v>
      </c>
      <c r="D299" t="s">
        <v>170</v>
      </c>
      <c r="E299" t="s">
        <v>849</v>
      </c>
      <c r="G299" t="s">
        <v>1107</v>
      </c>
      <c r="I299" t="s">
        <v>1078</v>
      </c>
      <c r="J299" t="s">
        <v>420</v>
      </c>
      <c r="K299" t="s">
        <v>6</v>
      </c>
      <c r="L299" t="s">
        <v>409</v>
      </c>
      <c r="M299" t="s">
        <v>141</v>
      </c>
      <c r="N299" t="s">
        <v>10</v>
      </c>
      <c r="O299" t="s">
        <v>146</v>
      </c>
      <c r="P299" t="s">
        <v>137</v>
      </c>
      <c r="Q299" t="s">
        <v>170</v>
      </c>
    </row>
    <row r="300" spans="1:19">
      <c r="A300" t="s">
        <v>10</v>
      </c>
      <c r="B300" t="s">
        <v>146</v>
      </c>
      <c r="C300" t="s">
        <v>137</v>
      </c>
      <c r="D300" t="s">
        <v>170</v>
      </c>
      <c r="E300" t="s">
        <v>847</v>
      </c>
      <c r="G300" t="s">
        <v>1107</v>
      </c>
      <c r="I300" t="s">
        <v>1078</v>
      </c>
      <c r="J300" t="s">
        <v>420</v>
      </c>
      <c r="K300" t="s">
        <v>6</v>
      </c>
      <c r="L300" t="s">
        <v>409</v>
      </c>
      <c r="M300" t="s">
        <v>141</v>
      </c>
      <c r="N300" t="s">
        <v>10</v>
      </c>
      <c r="O300" t="s">
        <v>146</v>
      </c>
      <c r="P300" t="s">
        <v>137</v>
      </c>
      <c r="Q300" t="s">
        <v>170</v>
      </c>
    </row>
    <row r="301" spans="1:19">
      <c r="A301" t="s">
        <v>10</v>
      </c>
      <c r="B301" t="s">
        <v>146</v>
      </c>
      <c r="C301" t="s">
        <v>137</v>
      </c>
      <c r="D301" t="s">
        <v>170</v>
      </c>
      <c r="E301" t="s">
        <v>846</v>
      </c>
      <c r="G301" t="s">
        <v>1107</v>
      </c>
      <c r="I301" t="s">
        <v>1078</v>
      </c>
      <c r="J301" t="s">
        <v>420</v>
      </c>
      <c r="K301" t="s">
        <v>6</v>
      </c>
      <c r="L301" t="s">
        <v>409</v>
      </c>
      <c r="M301" t="s">
        <v>141</v>
      </c>
      <c r="N301" t="s">
        <v>10</v>
      </c>
      <c r="O301" t="s">
        <v>146</v>
      </c>
      <c r="P301" t="s">
        <v>137</v>
      </c>
      <c r="Q301" t="s">
        <v>170</v>
      </c>
    </row>
    <row r="302" spans="1:19">
      <c r="A302" t="s">
        <v>10</v>
      </c>
      <c r="B302" t="s">
        <v>146</v>
      </c>
      <c r="C302" t="s">
        <v>137</v>
      </c>
      <c r="D302" t="s">
        <v>170</v>
      </c>
      <c r="E302" t="s">
        <v>842</v>
      </c>
      <c r="G302" t="s">
        <v>1107</v>
      </c>
      <c r="I302" t="s">
        <v>1078</v>
      </c>
      <c r="J302" t="s">
        <v>420</v>
      </c>
      <c r="K302" t="s">
        <v>6</v>
      </c>
      <c r="L302" t="s">
        <v>409</v>
      </c>
      <c r="M302" t="s">
        <v>141</v>
      </c>
      <c r="N302" t="s">
        <v>10</v>
      </c>
      <c r="O302" t="s">
        <v>146</v>
      </c>
      <c r="P302" t="s">
        <v>137</v>
      </c>
      <c r="Q302" t="s">
        <v>170</v>
      </c>
    </row>
    <row r="303" spans="1:19">
      <c r="A303" t="s">
        <v>10</v>
      </c>
      <c r="B303" t="s">
        <v>146</v>
      </c>
      <c r="C303" t="s">
        <v>137</v>
      </c>
      <c r="D303" t="s">
        <v>170</v>
      </c>
      <c r="E303" t="s">
        <v>841</v>
      </c>
      <c r="G303" t="s">
        <v>1107</v>
      </c>
      <c r="I303" t="s">
        <v>1078</v>
      </c>
      <c r="J303" t="s">
        <v>420</v>
      </c>
      <c r="K303" t="s">
        <v>6</v>
      </c>
      <c r="L303" t="s">
        <v>409</v>
      </c>
      <c r="M303" t="s">
        <v>141</v>
      </c>
      <c r="N303" t="s">
        <v>10</v>
      </c>
      <c r="O303" t="s">
        <v>146</v>
      </c>
      <c r="P303" t="s">
        <v>137</v>
      </c>
      <c r="Q303" t="s">
        <v>170</v>
      </c>
    </row>
    <row r="304" spans="1:19">
      <c r="A304" t="s">
        <v>10</v>
      </c>
      <c r="B304" t="s">
        <v>146</v>
      </c>
      <c r="C304" t="s">
        <v>137</v>
      </c>
      <c r="D304" t="s">
        <v>170</v>
      </c>
      <c r="E304" t="s">
        <v>843</v>
      </c>
      <c r="F304" t="s">
        <v>844</v>
      </c>
      <c r="G304" t="s">
        <v>1107</v>
      </c>
      <c r="I304" t="s">
        <v>1078</v>
      </c>
      <c r="J304" t="s">
        <v>420</v>
      </c>
      <c r="K304" t="s">
        <v>6</v>
      </c>
      <c r="L304" t="s">
        <v>409</v>
      </c>
      <c r="M304" t="s">
        <v>141</v>
      </c>
      <c r="N304" t="s">
        <v>10</v>
      </c>
      <c r="O304" t="s">
        <v>146</v>
      </c>
      <c r="P304" t="s">
        <v>137</v>
      </c>
      <c r="Q304" t="s">
        <v>170</v>
      </c>
      <c r="R304">
        <v>15.320695000000001</v>
      </c>
      <c r="S304">
        <v>10.229350999999999</v>
      </c>
    </row>
    <row r="305" spans="1:19">
      <c r="A305" t="s">
        <v>10</v>
      </c>
      <c r="B305" t="s">
        <v>146</v>
      </c>
      <c r="C305" t="s">
        <v>137</v>
      </c>
      <c r="D305" t="s">
        <v>170</v>
      </c>
      <c r="E305" t="s">
        <v>852</v>
      </c>
      <c r="F305" t="s">
        <v>853</v>
      </c>
      <c r="G305" t="s">
        <v>1107</v>
      </c>
      <c r="I305" t="s">
        <v>1078</v>
      </c>
      <c r="J305" t="s">
        <v>420</v>
      </c>
      <c r="K305" t="s">
        <v>6</v>
      </c>
      <c r="L305" t="s">
        <v>409</v>
      </c>
      <c r="M305" t="s">
        <v>141</v>
      </c>
      <c r="N305" t="s">
        <v>10</v>
      </c>
      <c r="O305" t="s">
        <v>146</v>
      </c>
      <c r="P305" t="s">
        <v>137</v>
      </c>
      <c r="Q305" t="s">
        <v>170</v>
      </c>
      <c r="R305">
        <v>15.296367</v>
      </c>
      <c r="S305">
        <v>10.01449</v>
      </c>
    </row>
    <row r="306" spans="1:19">
      <c r="A306" t="s">
        <v>10</v>
      </c>
      <c r="B306" t="s">
        <v>146</v>
      </c>
      <c r="C306" t="s">
        <v>137</v>
      </c>
      <c r="D306" t="s">
        <v>170</v>
      </c>
      <c r="E306" t="s">
        <v>320</v>
      </c>
      <c r="F306" t="s">
        <v>319</v>
      </c>
      <c r="G306" t="s">
        <v>1107</v>
      </c>
      <c r="I306" t="s">
        <v>1078</v>
      </c>
      <c r="J306" t="s">
        <v>420</v>
      </c>
      <c r="K306" t="s">
        <v>6</v>
      </c>
      <c r="L306" t="s">
        <v>409</v>
      </c>
      <c r="M306" t="s">
        <v>141</v>
      </c>
      <c r="N306" t="s">
        <v>10</v>
      </c>
      <c r="O306" t="s">
        <v>146</v>
      </c>
      <c r="P306" t="s">
        <v>137</v>
      </c>
      <c r="Q306" t="s">
        <v>170</v>
      </c>
      <c r="R306">
        <v>15.314185</v>
      </c>
      <c r="S306">
        <v>10.166567000000001</v>
      </c>
    </row>
    <row r="307" spans="1:19">
      <c r="A307" t="s">
        <v>10</v>
      </c>
      <c r="B307" t="s">
        <v>146</v>
      </c>
      <c r="C307" t="s">
        <v>137</v>
      </c>
      <c r="D307" t="s">
        <v>170</v>
      </c>
      <c r="E307" t="s">
        <v>321</v>
      </c>
      <c r="F307" t="s">
        <v>85</v>
      </c>
      <c r="G307" t="s">
        <v>1107</v>
      </c>
      <c r="I307" t="s">
        <v>1078</v>
      </c>
      <c r="J307" t="s">
        <v>420</v>
      </c>
      <c r="K307" t="s">
        <v>6</v>
      </c>
      <c r="L307" t="s">
        <v>409</v>
      </c>
      <c r="M307" t="s">
        <v>141</v>
      </c>
      <c r="N307" t="s">
        <v>10</v>
      </c>
      <c r="O307" t="s">
        <v>146</v>
      </c>
      <c r="P307" t="s">
        <v>137</v>
      </c>
      <c r="Q307" t="s">
        <v>170</v>
      </c>
      <c r="R307">
        <v>15.268568</v>
      </c>
      <c r="S307">
        <v>10.096378</v>
      </c>
    </row>
    <row r="308" spans="1:19">
      <c r="A308" t="s">
        <v>10</v>
      </c>
      <c r="B308" t="s">
        <v>146</v>
      </c>
      <c r="C308" t="s">
        <v>137</v>
      </c>
      <c r="D308" t="s">
        <v>170</v>
      </c>
      <c r="E308" t="s">
        <v>323</v>
      </c>
      <c r="F308" t="s">
        <v>86</v>
      </c>
      <c r="G308" t="s">
        <v>1107</v>
      </c>
      <c r="I308" t="s">
        <v>1078</v>
      </c>
      <c r="J308" t="s">
        <v>420</v>
      </c>
      <c r="K308" t="s">
        <v>6</v>
      </c>
      <c r="L308" t="s">
        <v>409</v>
      </c>
      <c r="M308" t="s">
        <v>141</v>
      </c>
      <c r="N308" t="s">
        <v>10</v>
      </c>
      <c r="O308" t="s">
        <v>146</v>
      </c>
      <c r="P308" t="s">
        <v>137</v>
      </c>
      <c r="Q308" t="s">
        <v>170</v>
      </c>
      <c r="R308">
        <v>15.244235</v>
      </c>
      <c r="S308">
        <v>10.025418</v>
      </c>
    </row>
    <row r="309" spans="1:19">
      <c r="A309" t="s">
        <v>10</v>
      </c>
      <c r="B309" t="s">
        <v>146</v>
      </c>
      <c r="C309" t="s">
        <v>31</v>
      </c>
      <c r="D309" t="s">
        <v>167</v>
      </c>
      <c r="E309" t="s">
        <v>830</v>
      </c>
      <c r="G309" t="s">
        <v>1108</v>
      </c>
      <c r="H309" t="s">
        <v>805</v>
      </c>
      <c r="I309" t="s">
        <v>1078</v>
      </c>
      <c r="J309" t="s">
        <v>420</v>
      </c>
      <c r="K309" t="s">
        <v>6</v>
      </c>
      <c r="L309" t="s">
        <v>409</v>
      </c>
      <c r="M309" t="s">
        <v>141</v>
      </c>
      <c r="N309" t="s">
        <v>10</v>
      </c>
      <c r="O309" t="s">
        <v>146</v>
      </c>
      <c r="P309" t="s">
        <v>31</v>
      </c>
      <c r="Q309" t="s">
        <v>167</v>
      </c>
    </row>
    <row r="310" spans="1:19">
      <c r="A310" t="s">
        <v>10</v>
      </c>
      <c r="B310" t="s">
        <v>146</v>
      </c>
      <c r="C310" t="s">
        <v>31</v>
      </c>
      <c r="D310" t="s">
        <v>167</v>
      </c>
      <c r="E310" t="s">
        <v>835</v>
      </c>
      <c r="F310" t="s">
        <v>836</v>
      </c>
      <c r="G310" t="s">
        <v>1107</v>
      </c>
      <c r="I310" t="s">
        <v>1078</v>
      </c>
      <c r="J310" t="s">
        <v>420</v>
      </c>
      <c r="K310" t="s">
        <v>6</v>
      </c>
      <c r="L310" t="s">
        <v>409</v>
      </c>
      <c r="M310" t="s">
        <v>141</v>
      </c>
      <c r="N310" t="s">
        <v>10</v>
      </c>
      <c r="O310" t="s">
        <v>146</v>
      </c>
      <c r="P310" t="s">
        <v>31</v>
      </c>
      <c r="Q310" t="s">
        <v>167</v>
      </c>
      <c r="R310">
        <v>15.018864000000001</v>
      </c>
      <c r="S310">
        <v>10.713013999999999</v>
      </c>
    </row>
    <row r="311" spans="1:19">
      <c r="A311" t="s">
        <v>10</v>
      </c>
      <c r="B311" t="s">
        <v>146</v>
      </c>
      <c r="C311" t="s">
        <v>31</v>
      </c>
      <c r="D311" t="s">
        <v>167</v>
      </c>
      <c r="E311" t="s">
        <v>839</v>
      </c>
      <c r="F311" t="s">
        <v>840</v>
      </c>
      <c r="G311" t="s">
        <v>1107</v>
      </c>
      <c r="I311" t="s">
        <v>1078</v>
      </c>
      <c r="J311" t="s">
        <v>420</v>
      </c>
      <c r="K311" t="s">
        <v>6</v>
      </c>
      <c r="L311" t="s">
        <v>409</v>
      </c>
      <c r="M311" t="s">
        <v>141</v>
      </c>
      <c r="N311" t="s">
        <v>10</v>
      </c>
      <c r="O311" t="s">
        <v>146</v>
      </c>
      <c r="P311" t="s">
        <v>31</v>
      </c>
      <c r="Q311" t="s">
        <v>167</v>
      </c>
      <c r="R311">
        <v>14.977012</v>
      </c>
      <c r="S311">
        <v>10.628166</v>
      </c>
    </row>
    <row r="312" spans="1:19">
      <c r="A312" t="s">
        <v>10</v>
      </c>
      <c r="B312" t="s">
        <v>146</v>
      </c>
      <c r="C312" t="s">
        <v>31</v>
      </c>
      <c r="D312" t="s">
        <v>167</v>
      </c>
      <c r="E312" t="s">
        <v>833</v>
      </c>
      <c r="F312" t="s">
        <v>834</v>
      </c>
      <c r="G312" t="s">
        <v>1107</v>
      </c>
      <c r="I312" t="s">
        <v>1078</v>
      </c>
      <c r="J312" t="s">
        <v>420</v>
      </c>
      <c r="K312" t="s">
        <v>6</v>
      </c>
      <c r="L312" t="s">
        <v>409</v>
      </c>
      <c r="M312" t="s">
        <v>141</v>
      </c>
      <c r="N312" t="s">
        <v>10</v>
      </c>
      <c r="O312" t="s">
        <v>146</v>
      </c>
      <c r="P312" t="s">
        <v>31</v>
      </c>
      <c r="Q312" t="s">
        <v>167</v>
      </c>
      <c r="R312">
        <v>15.129740999999999</v>
      </c>
      <c r="S312">
        <v>10.688852000000001</v>
      </c>
    </row>
    <row r="313" spans="1:19">
      <c r="A313" t="s">
        <v>10</v>
      </c>
      <c r="B313" t="s">
        <v>146</v>
      </c>
      <c r="C313" t="s">
        <v>31</v>
      </c>
      <c r="D313" t="s">
        <v>167</v>
      </c>
      <c r="E313" t="s">
        <v>831</v>
      </c>
      <c r="F313" t="s">
        <v>832</v>
      </c>
      <c r="G313" t="s">
        <v>1107</v>
      </c>
      <c r="I313" t="s">
        <v>1078</v>
      </c>
      <c r="J313" t="s">
        <v>420</v>
      </c>
      <c r="K313" t="s">
        <v>6</v>
      </c>
      <c r="L313" t="s">
        <v>409</v>
      </c>
      <c r="M313" t="s">
        <v>141</v>
      </c>
      <c r="N313" t="s">
        <v>10</v>
      </c>
      <c r="O313" t="s">
        <v>146</v>
      </c>
      <c r="P313" t="s">
        <v>31</v>
      </c>
      <c r="Q313" t="s">
        <v>167</v>
      </c>
      <c r="R313">
        <v>15.097039000000001</v>
      </c>
      <c r="S313">
        <v>10.727777</v>
      </c>
    </row>
    <row r="314" spans="1:19">
      <c r="A314" t="s">
        <v>10</v>
      </c>
      <c r="B314" t="s">
        <v>146</v>
      </c>
      <c r="C314" t="s">
        <v>31</v>
      </c>
      <c r="D314" t="s">
        <v>167</v>
      </c>
      <c r="E314" t="s">
        <v>822</v>
      </c>
      <c r="F314" t="s">
        <v>823</v>
      </c>
      <c r="G314" t="s">
        <v>1107</v>
      </c>
      <c r="I314" t="s">
        <v>1078</v>
      </c>
      <c r="J314" t="s">
        <v>420</v>
      </c>
      <c r="K314" t="s">
        <v>6</v>
      </c>
      <c r="L314" t="s">
        <v>409</v>
      </c>
      <c r="M314" t="s">
        <v>141</v>
      </c>
      <c r="N314" t="s">
        <v>10</v>
      </c>
      <c r="O314" t="s">
        <v>146</v>
      </c>
      <c r="P314" t="s">
        <v>31</v>
      </c>
      <c r="Q314" t="s">
        <v>167</v>
      </c>
      <c r="R314">
        <v>15.502114000000001</v>
      </c>
      <c r="S314">
        <v>10.087787000000001</v>
      </c>
    </row>
    <row r="315" spans="1:19">
      <c r="A315" t="s">
        <v>10</v>
      </c>
      <c r="B315" t="s">
        <v>146</v>
      </c>
      <c r="C315" t="s">
        <v>31</v>
      </c>
      <c r="D315" t="s">
        <v>167</v>
      </c>
      <c r="E315" t="s">
        <v>837</v>
      </c>
      <c r="F315" t="s">
        <v>838</v>
      </c>
      <c r="G315" t="s">
        <v>1107</v>
      </c>
      <c r="I315" t="s">
        <v>1078</v>
      </c>
      <c r="J315" t="s">
        <v>420</v>
      </c>
      <c r="K315" t="s">
        <v>6</v>
      </c>
      <c r="L315" t="s">
        <v>409</v>
      </c>
      <c r="M315" t="s">
        <v>141</v>
      </c>
      <c r="N315" t="s">
        <v>10</v>
      </c>
      <c r="O315" t="s">
        <v>146</v>
      </c>
      <c r="P315" t="s">
        <v>31</v>
      </c>
      <c r="Q315" t="s">
        <v>167</v>
      </c>
      <c r="R315">
        <v>14.980122</v>
      </c>
      <c r="S315">
        <v>10.670558</v>
      </c>
    </row>
    <row r="316" spans="1:19">
      <c r="A316" t="s">
        <v>10</v>
      </c>
      <c r="B316" t="s">
        <v>146</v>
      </c>
      <c r="C316" t="s">
        <v>17</v>
      </c>
      <c r="D316" t="s">
        <v>168</v>
      </c>
      <c r="E316" t="s">
        <v>860</v>
      </c>
      <c r="G316" t="s">
        <v>1107</v>
      </c>
      <c r="I316" t="s">
        <v>1099</v>
      </c>
      <c r="J316" t="s">
        <v>420</v>
      </c>
      <c r="K316" t="s">
        <v>6</v>
      </c>
      <c r="L316" t="s">
        <v>409</v>
      </c>
      <c r="M316" t="s">
        <v>141</v>
      </c>
      <c r="N316" t="s">
        <v>10</v>
      </c>
      <c r="O316" t="s">
        <v>146</v>
      </c>
      <c r="P316" t="s">
        <v>17</v>
      </c>
      <c r="Q316" t="s">
        <v>168</v>
      </c>
    </row>
    <row r="317" spans="1:19">
      <c r="A317" t="s">
        <v>10</v>
      </c>
      <c r="B317" t="s">
        <v>146</v>
      </c>
      <c r="C317" t="s">
        <v>17</v>
      </c>
      <c r="D317" t="s">
        <v>168</v>
      </c>
      <c r="E317" t="s">
        <v>200</v>
      </c>
      <c r="F317" t="s">
        <v>83</v>
      </c>
      <c r="G317" t="s">
        <v>1107</v>
      </c>
      <c r="I317" t="s">
        <v>1099</v>
      </c>
      <c r="J317" t="s">
        <v>420</v>
      </c>
      <c r="K317" t="s">
        <v>6</v>
      </c>
      <c r="L317" t="s">
        <v>409</v>
      </c>
      <c r="M317" t="s">
        <v>141</v>
      </c>
      <c r="N317" t="s">
        <v>10</v>
      </c>
      <c r="O317" t="s">
        <v>146</v>
      </c>
      <c r="P317" t="s">
        <v>17</v>
      </c>
      <c r="Q317" t="s">
        <v>168</v>
      </c>
      <c r="R317">
        <v>14.834413</v>
      </c>
      <c r="S317">
        <v>10.880466999999999</v>
      </c>
    </row>
    <row r="318" spans="1:19">
      <c r="A318" t="s">
        <v>10</v>
      </c>
      <c r="B318" t="s">
        <v>146</v>
      </c>
      <c r="C318" t="s">
        <v>17</v>
      </c>
      <c r="D318" t="s">
        <v>168</v>
      </c>
      <c r="E318" t="s">
        <v>200</v>
      </c>
      <c r="F318" t="s">
        <v>83</v>
      </c>
      <c r="G318" t="s">
        <v>1108</v>
      </c>
      <c r="H318" t="s">
        <v>861</v>
      </c>
      <c r="I318" t="s">
        <v>1078</v>
      </c>
      <c r="J318" t="s">
        <v>420</v>
      </c>
      <c r="K318" t="s">
        <v>6</v>
      </c>
      <c r="L318" t="s">
        <v>409</v>
      </c>
      <c r="M318" t="s">
        <v>141</v>
      </c>
      <c r="N318" t="s">
        <v>10</v>
      </c>
      <c r="O318" t="s">
        <v>146</v>
      </c>
      <c r="P318" t="s">
        <v>17</v>
      </c>
      <c r="Q318" t="s">
        <v>168</v>
      </c>
      <c r="R318">
        <v>14.834413</v>
      </c>
      <c r="S318">
        <v>10.880466999999999</v>
      </c>
    </row>
    <row r="319" spans="1:19">
      <c r="A319" t="s">
        <v>10</v>
      </c>
      <c r="B319" t="s">
        <v>146</v>
      </c>
      <c r="C319" t="s">
        <v>17</v>
      </c>
      <c r="D319" t="s">
        <v>168</v>
      </c>
      <c r="E319" t="s">
        <v>200</v>
      </c>
      <c r="F319" t="s">
        <v>83</v>
      </c>
      <c r="G319" t="s">
        <v>1108</v>
      </c>
      <c r="H319" t="s">
        <v>862</v>
      </c>
      <c r="I319" t="s">
        <v>1078</v>
      </c>
      <c r="J319" t="s">
        <v>420</v>
      </c>
      <c r="K319" t="s">
        <v>6</v>
      </c>
      <c r="L319" t="s">
        <v>409</v>
      </c>
      <c r="M319" t="s">
        <v>141</v>
      </c>
      <c r="N319" t="s">
        <v>10</v>
      </c>
      <c r="O319" t="s">
        <v>146</v>
      </c>
      <c r="P319" t="s">
        <v>17</v>
      </c>
      <c r="Q319" t="s">
        <v>168</v>
      </c>
      <c r="R319">
        <v>14.834413</v>
      </c>
      <c r="S319">
        <v>10.880466999999999</v>
      </c>
    </row>
    <row r="320" spans="1:19">
      <c r="A320" t="s">
        <v>10</v>
      </c>
      <c r="B320" t="s">
        <v>146</v>
      </c>
      <c r="C320" t="s">
        <v>17</v>
      </c>
      <c r="D320" t="s">
        <v>168</v>
      </c>
      <c r="E320" t="s">
        <v>200</v>
      </c>
      <c r="F320" t="s">
        <v>83</v>
      </c>
      <c r="G320" t="s">
        <v>1108</v>
      </c>
      <c r="H320" t="s">
        <v>863</v>
      </c>
      <c r="I320" t="s">
        <v>1078</v>
      </c>
      <c r="J320" t="s">
        <v>420</v>
      </c>
      <c r="K320" t="s">
        <v>6</v>
      </c>
      <c r="L320" t="s">
        <v>409</v>
      </c>
      <c r="M320" t="s">
        <v>141</v>
      </c>
      <c r="N320" t="s">
        <v>10</v>
      </c>
      <c r="O320" t="s">
        <v>146</v>
      </c>
      <c r="P320" t="s">
        <v>17</v>
      </c>
      <c r="Q320" t="s">
        <v>168</v>
      </c>
      <c r="R320">
        <v>14.834413</v>
      </c>
      <c r="S320">
        <v>10.880466999999999</v>
      </c>
    </row>
    <row r="321" spans="1:19">
      <c r="A321" t="s">
        <v>10</v>
      </c>
      <c r="B321" t="s">
        <v>146</v>
      </c>
      <c r="C321" t="s">
        <v>17</v>
      </c>
      <c r="D321" t="s">
        <v>168</v>
      </c>
      <c r="E321" t="s">
        <v>200</v>
      </c>
      <c r="F321" t="s">
        <v>83</v>
      </c>
      <c r="G321" t="s">
        <v>1107</v>
      </c>
      <c r="I321" t="s">
        <v>1099</v>
      </c>
      <c r="J321" t="s">
        <v>500</v>
      </c>
      <c r="K321" t="s">
        <v>402</v>
      </c>
      <c r="L321" t="s">
        <v>576</v>
      </c>
      <c r="M321" t="s">
        <v>42</v>
      </c>
      <c r="N321" t="s">
        <v>10</v>
      </c>
      <c r="O321" t="s">
        <v>146</v>
      </c>
      <c r="P321" t="s">
        <v>17</v>
      </c>
      <c r="Q321" t="s">
        <v>168</v>
      </c>
      <c r="R321">
        <v>14.834413</v>
      </c>
      <c r="S321">
        <v>10.880466999999999</v>
      </c>
    </row>
    <row r="322" spans="1:19">
      <c r="A322" t="s">
        <v>10</v>
      </c>
      <c r="B322" t="s">
        <v>146</v>
      </c>
      <c r="C322" t="s">
        <v>17</v>
      </c>
      <c r="D322" t="s">
        <v>168</v>
      </c>
      <c r="E322" t="s">
        <v>855</v>
      </c>
      <c r="F322" t="s">
        <v>856</v>
      </c>
      <c r="G322" t="s">
        <v>1108</v>
      </c>
      <c r="H322" t="s">
        <v>857</v>
      </c>
      <c r="I322" t="s">
        <v>1078</v>
      </c>
      <c r="J322" t="s">
        <v>420</v>
      </c>
      <c r="K322" t="s">
        <v>6</v>
      </c>
      <c r="L322" t="s">
        <v>409</v>
      </c>
      <c r="M322" t="s">
        <v>141</v>
      </c>
      <c r="N322" t="s">
        <v>10</v>
      </c>
      <c r="O322" t="s">
        <v>146</v>
      </c>
      <c r="P322" t="s">
        <v>17</v>
      </c>
      <c r="Q322" t="s">
        <v>168</v>
      </c>
      <c r="R322">
        <v>15.055573000000001</v>
      </c>
      <c r="S322">
        <v>10.847198000000001</v>
      </c>
    </row>
    <row r="323" spans="1:19">
      <c r="A323" t="s">
        <v>10</v>
      </c>
      <c r="B323" t="s">
        <v>146</v>
      </c>
      <c r="C323" t="s">
        <v>17</v>
      </c>
      <c r="D323" t="s">
        <v>168</v>
      </c>
      <c r="E323" t="s">
        <v>855</v>
      </c>
      <c r="F323" t="s">
        <v>856</v>
      </c>
      <c r="G323" t="s">
        <v>1108</v>
      </c>
      <c r="H323" t="s">
        <v>858</v>
      </c>
      <c r="I323" t="s">
        <v>1078</v>
      </c>
      <c r="J323" t="s">
        <v>420</v>
      </c>
      <c r="K323" t="s">
        <v>6</v>
      </c>
      <c r="L323" t="s">
        <v>409</v>
      </c>
      <c r="M323" t="s">
        <v>141</v>
      </c>
      <c r="N323" t="s">
        <v>10</v>
      </c>
      <c r="O323" t="s">
        <v>146</v>
      </c>
      <c r="P323" t="s">
        <v>17</v>
      </c>
      <c r="Q323" t="s">
        <v>168</v>
      </c>
      <c r="R323">
        <v>15.055573000000001</v>
      </c>
      <c r="S323">
        <v>10.847198000000001</v>
      </c>
    </row>
    <row r="324" spans="1:19">
      <c r="A324" t="s">
        <v>10</v>
      </c>
      <c r="B324" t="s">
        <v>146</v>
      </c>
      <c r="C324" t="s">
        <v>17</v>
      </c>
      <c r="D324" t="s">
        <v>168</v>
      </c>
      <c r="E324" t="s">
        <v>855</v>
      </c>
      <c r="F324" t="s">
        <v>856</v>
      </c>
      <c r="G324" t="s">
        <v>1108</v>
      </c>
      <c r="H324" t="s">
        <v>859</v>
      </c>
      <c r="I324" t="s">
        <v>1078</v>
      </c>
      <c r="J324" t="s">
        <v>420</v>
      </c>
      <c r="K324" t="s">
        <v>6</v>
      </c>
      <c r="L324" t="s">
        <v>409</v>
      </c>
      <c r="M324" t="s">
        <v>141</v>
      </c>
      <c r="N324" t="s">
        <v>10</v>
      </c>
      <c r="O324" t="s">
        <v>146</v>
      </c>
      <c r="P324" t="s">
        <v>17</v>
      </c>
      <c r="Q324" t="s">
        <v>168</v>
      </c>
      <c r="R324">
        <v>15.055573000000001</v>
      </c>
      <c r="S324">
        <v>10.847198000000001</v>
      </c>
    </row>
    <row r="325" spans="1:19">
      <c r="A325" t="s">
        <v>10</v>
      </c>
      <c r="B325" t="s">
        <v>146</v>
      </c>
      <c r="C325" t="s">
        <v>17</v>
      </c>
      <c r="D325" t="s">
        <v>168</v>
      </c>
      <c r="E325" t="s">
        <v>855</v>
      </c>
      <c r="F325" t="s">
        <v>856</v>
      </c>
      <c r="G325" t="s">
        <v>1107</v>
      </c>
      <c r="I325" t="s">
        <v>1099</v>
      </c>
      <c r="J325" t="s">
        <v>420</v>
      </c>
      <c r="K325" t="s">
        <v>6</v>
      </c>
      <c r="L325" t="s">
        <v>409</v>
      </c>
      <c r="M325" t="s">
        <v>141</v>
      </c>
      <c r="N325" t="s">
        <v>10</v>
      </c>
      <c r="O325" t="s">
        <v>146</v>
      </c>
      <c r="P325" t="s">
        <v>17</v>
      </c>
      <c r="Q325" t="s">
        <v>168</v>
      </c>
      <c r="R325">
        <v>15.055573000000001</v>
      </c>
      <c r="S325">
        <v>10.847198000000001</v>
      </c>
    </row>
    <row r="326" spans="1:19">
      <c r="A326" t="s">
        <v>10</v>
      </c>
      <c r="B326" t="s">
        <v>146</v>
      </c>
      <c r="C326" t="s">
        <v>29</v>
      </c>
      <c r="D326" t="s">
        <v>172</v>
      </c>
      <c r="E326" t="s">
        <v>826</v>
      </c>
      <c r="F326" t="s">
        <v>827</v>
      </c>
      <c r="G326" t="s">
        <v>1108</v>
      </c>
      <c r="H326" t="s">
        <v>828</v>
      </c>
      <c r="I326" t="s">
        <v>1078</v>
      </c>
      <c r="J326" t="s">
        <v>420</v>
      </c>
      <c r="K326" t="s">
        <v>6</v>
      </c>
      <c r="L326" t="s">
        <v>409</v>
      </c>
      <c r="M326" t="s">
        <v>141</v>
      </c>
      <c r="N326" t="s">
        <v>10</v>
      </c>
      <c r="O326" t="s">
        <v>146</v>
      </c>
      <c r="P326" t="s">
        <v>29</v>
      </c>
      <c r="Q326" t="s">
        <v>172</v>
      </c>
      <c r="R326">
        <v>15.232877</v>
      </c>
      <c r="S326">
        <v>10.341068</v>
      </c>
    </row>
    <row r="327" spans="1:19">
      <c r="A327" t="s">
        <v>10</v>
      </c>
      <c r="B327" t="s">
        <v>146</v>
      </c>
      <c r="C327" t="s">
        <v>29</v>
      </c>
      <c r="D327" t="s">
        <v>172</v>
      </c>
      <c r="E327" t="s">
        <v>826</v>
      </c>
      <c r="F327" t="s">
        <v>827</v>
      </c>
      <c r="G327" t="s">
        <v>1108</v>
      </c>
      <c r="H327" t="s">
        <v>205</v>
      </c>
      <c r="I327" t="s">
        <v>1078</v>
      </c>
      <c r="J327" t="s">
        <v>420</v>
      </c>
      <c r="K327" t="s">
        <v>6</v>
      </c>
      <c r="L327" t="s">
        <v>409</v>
      </c>
      <c r="M327" t="s">
        <v>141</v>
      </c>
      <c r="N327" t="s">
        <v>10</v>
      </c>
      <c r="O327" t="s">
        <v>146</v>
      </c>
      <c r="P327" t="s">
        <v>29</v>
      </c>
      <c r="Q327" t="s">
        <v>172</v>
      </c>
      <c r="R327">
        <v>15.232877</v>
      </c>
      <c r="S327">
        <v>10.341068</v>
      </c>
    </row>
    <row r="328" spans="1:19">
      <c r="A328" t="s">
        <v>10</v>
      </c>
      <c r="B328" t="s">
        <v>146</v>
      </c>
      <c r="C328" t="s">
        <v>29</v>
      </c>
      <c r="D328" t="s">
        <v>172</v>
      </c>
      <c r="E328" t="s">
        <v>826</v>
      </c>
      <c r="F328" t="s">
        <v>827</v>
      </c>
      <c r="G328" t="s">
        <v>1107</v>
      </c>
      <c r="I328" t="s">
        <v>1099</v>
      </c>
      <c r="J328" t="s">
        <v>420</v>
      </c>
      <c r="K328" t="s">
        <v>6</v>
      </c>
      <c r="L328" t="s">
        <v>409</v>
      </c>
      <c r="M328" t="s">
        <v>141</v>
      </c>
      <c r="N328" t="s">
        <v>10</v>
      </c>
      <c r="O328" t="s">
        <v>146</v>
      </c>
      <c r="P328" t="s">
        <v>29</v>
      </c>
      <c r="Q328" t="s">
        <v>172</v>
      </c>
      <c r="R328">
        <v>15.232877</v>
      </c>
      <c r="S328">
        <v>10.341068</v>
      </c>
    </row>
    <row r="329" spans="1:19">
      <c r="A329" t="s">
        <v>10</v>
      </c>
      <c r="B329" t="s">
        <v>146</v>
      </c>
      <c r="C329" t="s">
        <v>29</v>
      </c>
      <c r="D329" t="s">
        <v>172</v>
      </c>
      <c r="E329" t="s">
        <v>826</v>
      </c>
      <c r="F329" t="s">
        <v>827</v>
      </c>
      <c r="G329" t="s">
        <v>1107</v>
      </c>
      <c r="I329" t="s">
        <v>1096</v>
      </c>
      <c r="J329" t="s">
        <v>502</v>
      </c>
      <c r="K329" t="s">
        <v>403</v>
      </c>
      <c r="L329" t="s">
        <v>829</v>
      </c>
      <c r="M329" t="s">
        <v>43</v>
      </c>
      <c r="R329">
        <v>15.232877</v>
      </c>
      <c r="S329">
        <v>10.341068</v>
      </c>
    </row>
    <row r="330" spans="1:19">
      <c r="A330" t="s">
        <v>4</v>
      </c>
      <c r="B330" t="s">
        <v>147</v>
      </c>
      <c r="C330" t="s">
        <v>138</v>
      </c>
      <c r="D330" t="s">
        <v>173</v>
      </c>
      <c r="E330" t="s">
        <v>889</v>
      </c>
      <c r="G330" t="s">
        <v>1107</v>
      </c>
      <c r="I330" t="s">
        <v>1099</v>
      </c>
      <c r="J330" t="s">
        <v>420</v>
      </c>
      <c r="K330" t="s">
        <v>6</v>
      </c>
      <c r="L330" t="s">
        <v>409</v>
      </c>
      <c r="M330" t="s">
        <v>141</v>
      </c>
      <c r="N330" t="s">
        <v>4</v>
      </c>
      <c r="O330" t="s">
        <v>147</v>
      </c>
      <c r="P330" t="s">
        <v>138</v>
      </c>
      <c r="Q330" t="s">
        <v>173</v>
      </c>
    </row>
    <row r="331" spans="1:19">
      <c r="A331" t="s">
        <v>4</v>
      </c>
      <c r="B331" t="s">
        <v>147</v>
      </c>
      <c r="C331" t="s">
        <v>138</v>
      </c>
      <c r="D331" t="s">
        <v>173</v>
      </c>
      <c r="E331" t="s">
        <v>888</v>
      </c>
      <c r="G331" t="s">
        <v>1107</v>
      </c>
      <c r="I331" t="s">
        <v>1099</v>
      </c>
      <c r="J331" t="s">
        <v>420</v>
      </c>
      <c r="K331" t="s">
        <v>6</v>
      </c>
      <c r="L331" t="s">
        <v>409</v>
      </c>
      <c r="M331" t="s">
        <v>141</v>
      </c>
      <c r="N331" t="s">
        <v>4</v>
      </c>
      <c r="O331" t="s">
        <v>147</v>
      </c>
      <c r="P331" t="s">
        <v>138</v>
      </c>
      <c r="Q331" t="s">
        <v>173</v>
      </c>
    </row>
    <row r="332" spans="1:19">
      <c r="A332" t="s">
        <v>4</v>
      </c>
      <c r="B332" t="s">
        <v>147</v>
      </c>
      <c r="C332" t="s">
        <v>138</v>
      </c>
      <c r="D332" t="s">
        <v>173</v>
      </c>
      <c r="E332" t="s">
        <v>326</v>
      </c>
      <c r="F332" t="s">
        <v>325</v>
      </c>
      <c r="G332" t="s">
        <v>1107</v>
      </c>
      <c r="I332" t="s">
        <v>1099</v>
      </c>
      <c r="J332" t="s">
        <v>420</v>
      </c>
      <c r="K332" t="s">
        <v>6</v>
      </c>
      <c r="L332" t="s">
        <v>409</v>
      </c>
      <c r="M332" t="s">
        <v>141</v>
      </c>
      <c r="N332" t="s">
        <v>4</v>
      </c>
      <c r="O332" t="s">
        <v>147</v>
      </c>
      <c r="P332" t="s">
        <v>138</v>
      </c>
      <c r="Q332" t="s">
        <v>173</v>
      </c>
      <c r="R332">
        <v>14.77684</v>
      </c>
      <c r="S332">
        <v>10.134456</v>
      </c>
    </row>
    <row r="333" spans="1:19">
      <c r="A333" t="s">
        <v>4</v>
      </c>
      <c r="B333" t="s">
        <v>147</v>
      </c>
      <c r="C333" t="s">
        <v>90</v>
      </c>
      <c r="D333" t="s">
        <v>176</v>
      </c>
      <c r="E333" t="s">
        <v>328</v>
      </c>
      <c r="F333" t="s">
        <v>327</v>
      </c>
      <c r="G333" t="s">
        <v>1107</v>
      </c>
      <c r="I333" t="s">
        <v>1099</v>
      </c>
      <c r="J333" t="s">
        <v>420</v>
      </c>
      <c r="K333" t="s">
        <v>6</v>
      </c>
      <c r="L333" t="s">
        <v>409</v>
      </c>
      <c r="M333" t="s">
        <v>141</v>
      </c>
      <c r="N333" t="s">
        <v>27</v>
      </c>
      <c r="O333" t="s">
        <v>148</v>
      </c>
      <c r="P333" t="s">
        <v>33</v>
      </c>
      <c r="Q333" t="s">
        <v>178</v>
      </c>
      <c r="R333">
        <v>14.404536999999999</v>
      </c>
      <c r="S333">
        <v>10.152639000000001</v>
      </c>
    </row>
    <row r="334" spans="1:19">
      <c r="A334" t="s">
        <v>4</v>
      </c>
      <c r="B334" t="s">
        <v>147</v>
      </c>
      <c r="C334" t="s">
        <v>90</v>
      </c>
      <c r="D334" t="s">
        <v>176</v>
      </c>
      <c r="E334" t="s">
        <v>890</v>
      </c>
      <c r="F334" t="s">
        <v>891</v>
      </c>
      <c r="G334" t="s">
        <v>1107</v>
      </c>
      <c r="I334" t="s">
        <v>1099</v>
      </c>
      <c r="J334" t="s">
        <v>420</v>
      </c>
      <c r="K334" t="s">
        <v>6</v>
      </c>
      <c r="L334" t="s">
        <v>409</v>
      </c>
      <c r="M334" t="s">
        <v>141</v>
      </c>
      <c r="N334" t="s">
        <v>27</v>
      </c>
      <c r="O334" t="s">
        <v>148</v>
      </c>
      <c r="P334" t="s">
        <v>33</v>
      </c>
      <c r="Q334" t="s">
        <v>178</v>
      </c>
      <c r="R334">
        <v>14.44651</v>
      </c>
      <c r="S334">
        <v>10.106719</v>
      </c>
    </row>
    <row r="335" spans="1:19">
      <c r="A335" t="s">
        <v>4</v>
      </c>
      <c r="B335" t="s">
        <v>147</v>
      </c>
      <c r="C335" t="s">
        <v>90</v>
      </c>
      <c r="D335" t="s">
        <v>176</v>
      </c>
      <c r="E335" t="s">
        <v>892</v>
      </c>
      <c r="F335" t="s">
        <v>893</v>
      </c>
      <c r="G335" t="s">
        <v>1107</v>
      </c>
      <c r="I335" t="s">
        <v>1099</v>
      </c>
      <c r="J335" t="s">
        <v>420</v>
      </c>
      <c r="K335" t="s">
        <v>6</v>
      </c>
      <c r="L335" t="s">
        <v>409</v>
      </c>
      <c r="M335" t="s">
        <v>141</v>
      </c>
      <c r="N335" t="s">
        <v>27</v>
      </c>
      <c r="O335" t="s">
        <v>148</v>
      </c>
      <c r="P335" t="s">
        <v>33</v>
      </c>
      <c r="Q335" t="s">
        <v>178</v>
      </c>
      <c r="R335">
        <v>14.3354</v>
      </c>
      <c r="S335">
        <v>10.169002000000001</v>
      </c>
    </row>
    <row r="336" spans="1:19">
      <c r="A336" t="s">
        <v>4</v>
      </c>
      <c r="B336" t="s">
        <v>147</v>
      </c>
      <c r="C336" t="s">
        <v>22</v>
      </c>
      <c r="D336" t="s">
        <v>177</v>
      </c>
      <c r="E336" t="s">
        <v>894</v>
      </c>
      <c r="G336" t="s">
        <v>1107</v>
      </c>
      <c r="I336" t="s">
        <v>1078</v>
      </c>
      <c r="J336" t="s">
        <v>420</v>
      </c>
      <c r="K336" t="s">
        <v>6</v>
      </c>
      <c r="L336" t="s">
        <v>409</v>
      </c>
      <c r="M336" t="s">
        <v>141</v>
      </c>
      <c r="N336" t="s">
        <v>10</v>
      </c>
      <c r="O336" t="s">
        <v>146</v>
      </c>
      <c r="P336" t="s">
        <v>17</v>
      </c>
      <c r="Q336" t="s">
        <v>168</v>
      </c>
    </row>
    <row r="337" spans="1:19">
      <c r="A337" t="s">
        <v>4</v>
      </c>
      <c r="B337" t="s">
        <v>147</v>
      </c>
      <c r="C337" t="s">
        <v>22</v>
      </c>
      <c r="D337" t="s">
        <v>177</v>
      </c>
      <c r="E337" t="s">
        <v>895</v>
      </c>
      <c r="G337" t="s">
        <v>1107</v>
      </c>
      <c r="I337" t="s">
        <v>1078</v>
      </c>
      <c r="J337" t="s">
        <v>420</v>
      </c>
      <c r="K337" t="s">
        <v>6</v>
      </c>
      <c r="L337" t="s">
        <v>409</v>
      </c>
      <c r="M337" t="s">
        <v>141</v>
      </c>
      <c r="N337" t="s">
        <v>27</v>
      </c>
      <c r="O337" t="s">
        <v>148</v>
      </c>
      <c r="P337" t="s">
        <v>33</v>
      </c>
      <c r="Q337" t="s">
        <v>178</v>
      </c>
    </row>
    <row r="338" spans="1:19">
      <c r="A338" t="s">
        <v>4</v>
      </c>
      <c r="B338" t="s">
        <v>147</v>
      </c>
      <c r="C338" t="s">
        <v>22</v>
      </c>
      <c r="D338" t="s">
        <v>177</v>
      </c>
      <c r="E338" t="s">
        <v>896</v>
      </c>
      <c r="G338" t="s">
        <v>1107</v>
      </c>
      <c r="I338" t="s">
        <v>1078</v>
      </c>
      <c r="J338" t="s">
        <v>420</v>
      </c>
      <c r="K338" t="s">
        <v>6</v>
      </c>
      <c r="L338" t="s">
        <v>409</v>
      </c>
      <c r="M338" t="s">
        <v>141</v>
      </c>
      <c r="N338" t="s">
        <v>10</v>
      </c>
      <c r="O338" t="s">
        <v>146</v>
      </c>
      <c r="P338" t="s">
        <v>17</v>
      </c>
      <c r="Q338" t="s">
        <v>168</v>
      </c>
    </row>
    <row r="339" spans="1:19">
      <c r="A339" t="s">
        <v>4</v>
      </c>
      <c r="B339" t="s">
        <v>147</v>
      </c>
      <c r="C339" t="s">
        <v>22</v>
      </c>
      <c r="D339" t="s">
        <v>177</v>
      </c>
      <c r="E339" t="s">
        <v>897</v>
      </c>
      <c r="F339" t="s">
        <v>898</v>
      </c>
      <c r="G339" t="s">
        <v>1107</v>
      </c>
      <c r="I339" t="s">
        <v>1078</v>
      </c>
      <c r="J339" t="s">
        <v>420</v>
      </c>
      <c r="K339" t="s">
        <v>6</v>
      </c>
      <c r="L339" t="s">
        <v>409</v>
      </c>
      <c r="M339" t="s">
        <v>141</v>
      </c>
      <c r="N339" t="s">
        <v>27</v>
      </c>
      <c r="O339" t="s">
        <v>148</v>
      </c>
      <c r="P339" t="s">
        <v>33</v>
      </c>
      <c r="Q339" t="s">
        <v>178</v>
      </c>
      <c r="R339">
        <v>14.288618</v>
      </c>
      <c r="S339">
        <v>10.375491</v>
      </c>
    </row>
    <row r="340" spans="1:19">
      <c r="A340" t="s">
        <v>4</v>
      </c>
      <c r="B340" t="s">
        <v>147</v>
      </c>
      <c r="C340" t="s">
        <v>5</v>
      </c>
      <c r="D340" t="s">
        <v>174</v>
      </c>
      <c r="E340" t="s">
        <v>901</v>
      </c>
      <c r="F340" t="s">
        <v>902</v>
      </c>
      <c r="G340" t="s">
        <v>1107</v>
      </c>
      <c r="I340" t="s">
        <v>1099</v>
      </c>
      <c r="J340" t="s">
        <v>500</v>
      </c>
      <c r="K340" t="s">
        <v>402</v>
      </c>
      <c r="L340" t="s">
        <v>576</v>
      </c>
      <c r="M340" t="s">
        <v>42</v>
      </c>
      <c r="R340">
        <v>14.795081</v>
      </c>
      <c r="S340">
        <v>10.428337000000001</v>
      </c>
    </row>
    <row r="341" spans="1:19">
      <c r="A341" t="s">
        <v>4</v>
      </c>
      <c r="B341" t="s">
        <v>147</v>
      </c>
      <c r="C341" t="s">
        <v>5</v>
      </c>
      <c r="D341" t="s">
        <v>174</v>
      </c>
      <c r="E341" t="s">
        <v>329</v>
      </c>
      <c r="F341" t="s">
        <v>89</v>
      </c>
      <c r="G341" t="s">
        <v>1107</v>
      </c>
      <c r="I341" t="s">
        <v>1099</v>
      </c>
      <c r="J341" t="s">
        <v>500</v>
      </c>
      <c r="K341" t="s">
        <v>402</v>
      </c>
      <c r="L341" t="s">
        <v>576</v>
      </c>
      <c r="M341" t="s">
        <v>42</v>
      </c>
      <c r="R341">
        <v>14.901629</v>
      </c>
      <c r="S341">
        <v>10.40634</v>
      </c>
    </row>
    <row r="342" spans="1:19">
      <c r="A342" t="s">
        <v>4</v>
      </c>
      <c r="B342" t="s">
        <v>147</v>
      </c>
      <c r="C342" t="s">
        <v>5</v>
      </c>
      <c r="D342" t="s">
        <v>174</v>
      </c>
      <c r="E342" t="s">
        <v>899</v>
      </c>
      <c r="F342" t="s">
        <v>900</v>
      </c>
      <c r="G342" t="s">
        <v>1107</v>
      </c>
      <c r="I342" t="s">
        <v>1099</v>
      </c>
      <c r="J342" t="s">
        <v>500</v>
      </c>
      <c r="K342" t="s">
        <v>402</v>
      </c>
      <c r="L342" t="s">
        <v>576</v>
      </c>
      <c r="M342" t="s">
        <v>42</v>
      </c>
      <c r="R342">
        <v>14.853854</v>
      </c>
      <c r="S342">
        <v>10.405882</v>
      </c>
    </row>
    <row r="343" spans="1:19">
      <c r="A343" t="s">
        <v>4</v>
      </c>
      <c r="B343" t="s">
        <v>147</v>
      </c>
      <c r="C343" t="s">
        <v>38</v>
      </c>
      <c r="D343" t="s">
        <v>175</v>
      </c>
      <c r="E343" t="s">
        <v>904</v>
      </c>
      <c r="G343" t="s">
        <v>1107</v>
      </c>
      <c r="I343" t="s">
        <v>1099</v>
      </c>
      <c r="J343" t="s">
        <v>420</v>
      </c>
      <c r="K343" t="s">
        <v>6</v>
      </c>
      <c r="L343" t="s">
        <v>409</v>
      </c>
      <c r="M343" t="s">
        <v>141</v>
      </c>
      <c r="N343" t="s">
        <v>27</v>
      </c>
      <c r="O343" t="s">
        <v>148</v>
      </c>
      <c r="P343" t="s">
        <v>33</v>
      </c>
      <c r="Q343" t="s">
        <v>178</v>
      </c>
    </row>
    <row r="344" spans="1:19">
      <c r="A344" t="s">
        <v>4</v>
      </c>
      <c r="B344" t="s">
        <v>147</v>
      </c>
      <c r="C344" t="s">
        <v>38</v>
      </c>
      <c r="D344" t="s">
        <v>175</v>
      </c>
      <c r="E344" t="s">
        <v>906</v>
      </c>
      <c r="G344" t="s">
        <v>1107</v>
      </c>
      <c r="I344" t="s">
        <v>1099</v>
      </c>
      <c r="J344" t="s">
        <v>420</v>
      </c>
      <c r="K344" t="s">
        <v>6</v>
      </c>
      <c r="L344" t="s">
        <v>409</v>
      </c>
      <c r="M344" t="s">
        <v>141</v>
      </c>
      <c r="N344" t="s">
        <v>27</v>
      </c>
      <c r="O344" t="s">
        <v>148</v>
      </c>
      <c r="P344" t="s">
        <v>907</v>
      </c>
    </row>
    <row r="345" spans="1:19">
      <c r="A345" t="s">
        <v>4</v>
      </c>
      <c r="B345" t="s">
        <v>147</v>
      </c>
      <c r="C345" t="s">
        <v>38</v>
      </c>
      <c r="D345" t="s">
        <v>175</v>
      </c>
      <c r="E345" t="s">
        <v>903</v>
      </c>
      <c r="G345" t="s">
        <v>1107</v>
      </c>
      <c r="I345" t="s">
        <v>1099</v>
      </c>
      <c r="J345" t="s">
        <v>500</v>
      </c>
      <c r="K345" t="s">
        <v>402</v>
      </c>
      <c r="L345" t="s">
        <v>576</v>
      </c>
      <c r="M345" t="s">
        <v>42</v>
      </c>
    </row>
    <row r="346" spans="1:19">
      <c r="A346" t="s">
        <v>4</v>
      </c>
      <c r="B346" t="s">
        <v>147</v>
      </c>
      <c r="C346" t="s">
        <v>38</v>
      </c>
      <c r="D346" t="s">
        <v>175</v>
      </c>
      <c r="E346" t="s">
        <v>331</v>
      </c>
      <c r="F346" t="s">
        <v>330</v>
      </c>
      <c r="G346" t="s">
        <v>1107</v>
      </c>
      <c r="I346" t="s">
        <v>1099</v>
      </c>
      <c r="J346" t="s">
        <v>420</v>
      </c>
      <c r="K346" t="s">
        <v>6</v>
      </c>
      <c r="L346" t="s">
        <v>409</v>
      </c>
      <c r="M346" t="s">
        <v>141</v>
      </c>
      <c r="N346" t="s">
        <v>2</v>
      </c>
      <c r="O346" t="s">
        <v>149</v>
      </c>
      <c r="P346" t="s">
        <v>905</v>
      </c>
      <c r="R346">
        <v>14.177768</v>
      </c>
      <c r="S346">
        <v>10.198961000000001</v>
      </c>
    </row>
    <row r="347" spans="1:19">
      <c r="A347" t="s">
        <v>4</v>
      </c>
      <c r="B347" t="s">
        <v>147</v>
      </c>
      <c r="C347" t="s">
        <v>38</v>
      </c>
      <c r="D347" t="s">
        <v>175</v>
      </c>
      <c r="E347" t="s">
        <v>333</v>
      </c>
      <c r="F347" t="s">
        <v>332</v>
      </c>
      <c r="G347" t="s">
        <v>1107</v>
      </c>
      <c r="I347" t="s">
        <v>1099</v>
      </c>
      <c r="J347" t="s">
        <v>420</v>
      </c>
      <c r="K347" t="s">
        <v>6</v>
      </c>
      <c r="L347" t="s">
        <v>409</v>
      </c>
      <c r="M347" t="s">
        <v>141</v>
      </c>
      <c r="N347" t="s">
        <v>27</v>
      </c>
      <c r="O347" t="s">
        <v>148</v>
      </c>
      <c r="P347" t="s">
        <v>33</v>
      </c>
      <c r="Q347" t="s">
        <v>178</v>
      </c>
      <c r="R347">
        <v>14.118786</v>
      </c>
      <c r="S347">
        <v>10.324728</v>
      </c>
    </row>
    <row r="348" spans="1:19">
      <c r="A348" t="s">
        <v>27</v>
      </c>
      <c r="B348" t="s">
        <v>148</v>
      </c>
      <c r="C348" t="s">
        <v>33</v>
      </c>
      <c r="D348" t="s">
        <v>178</v>
      </c>
      <c r="E348" t="s">
        <v>918</v>
      </c>
      <c r="F348" t="s">
        <v>1000</v>
      </c>
      <c r="G348" t="s">
        <v>1107</v>
      </c>
      <c r="I348" t="s">
        <v>1099</v>
      </c>
      <c r="J348" t="s">
        <v>420</v>
      </c>
      <c r="K348" t="s">
        <v>6</v>
      </c>
      <c r="L348" t="s">
        <v>409</v>
      </c>
      <c r="M348" t="s">
        <v>141</v>
      </c>
      <c r="N348" t="s">
        <v>27</v>
      </c>
      <c r="O348" t="s">
        <v>148</v>
      </c>
      <c r="P348" t="s">
        <v>33</v>
      </c>
      <c r="Q348" t="s">
        <v>178</v>
      </c>
      <c r="R348">
        <v>14.702196000000001</v>
      </c>
      <c r="S348">
        <v>11.013609000000001</v>
      </c>
    </row>
    <row r="349" spans="1:19">
      <c r="A349" t="s">
        <v>27</v>
      </c>
      <c r="B349" t="s">
        <v>148</v>
      </c>
      <c r="C349" t="s">
        <v>33</v>
      </c>
      <c r="D349" t="s">
        <v>178</v>
      </c>
      <c r="E349" t="s">
        <v>1001</v>
      </c>
      <c r="G349" t="s">
        <v>1107</v>
      </c>
      <c r="I349" t="s">
        <v>1099</v>
      </c>
      <c r="J349" t="s">
        <v>420</v>
      </c>
      <c r="K349" t="s">
        <v>6</v>
      </c>
      <c r="L349" t="s">
        <v>409</v>
      </c>
      <c r="M349" t="s">
        <v>141</v>
      </c>
      <c r="N349" t="s">
        <v>27</v>
      </c>
      <c r="O349" t="s">
        <v>148</v>
      </c>
      <c r="P349" t="s">
        <v>33</v>
      </c>
      <c r="Q349" t="s">
        <v>178</v>
      </c>
    </row>
    <row r="350" spans="1:19">
      <c r="A350" t="s">
        <v>27</v>
      </c>
      <c r="B350" t="s">
        <v>148</v>
      </c>
      <c r="C350" t="s">
        <v>33</v>
      </c>
      <c r="D350" t="s">
        <v>178</v>
      </c>
      <c r="E350" t="s">
        <v>1002</v>
      </c>
      <c r="G350" t="s">
        <v>1107</v>
      </c>
      <c r="I350" t="s">
        <v>1099</v>
      </c>
      <c r="J350" t="s">
        <v>420</v>
      </c>
      <c r="K350" t="s">
        <v>6</v>
      </c>
      <c r="L350" t="s">
        <v>409</v>
      </c>
      <c r="M350" t="s">
        <v>141</v>
      </c>
      <c r="N350" t="s">
        <v>27</v>
      </c>
      <c r="O350" t="s">
        <v>148</v>
      </c>
      <c r="P350" t="s">
        <v>33</v>
      </c>
      <c r="Q350" t="s">
        <v>178</v>
      </c>
    </row>
    <row r="351" spans="1:19">
      <c r="A351" t="s">
        <v>27</v>
      </c>
      <c r="B351" t="s">
        <v>148</v>
      </c>
      <c r="C351" t="s">
        <v>33</v>
      </c>
      <c r="D351" t="s">
        <v>178</v>
      </c>
      <c r="E351" t="s">
        <v>1003</v>
      </c>
      <c r="G351" t="s">
        <v>1107</v>
      </c>
      <c r="I351" t="s">
        <v>1099</v>
      </c>
      <c r="J351" t="s">
        <v>420</v>
      </c>
      <c r="K351" t="s">
        <v>6</v>
      </c>
      <c r="L351" t="s">
        <v>409</v>
      </c>
      <c r="M351" t="s">
        <v>141</v>
      </c>
      <c r="N351" t="s">
        <v>27</v>
      </c>
      <c r="O351" t="s">
        <v>148</v>
      </c>
      <c r="P351" t="s">
        <v>33</v>
      </c>
      <c r="Q351" t="s">
        <v>178</v>
      </c>
    </row>
    <row r="352" spans="1:19">
      <c r="A352" t="s">
        <v>27</v>
      </c>
      <c r="B352" t="s">
        <v>148</v>
      </c>
      <c r="C352" t="s">
        <v>33</v>
      </c>
      <c r="D352" t="s">
        <v>178</v>
      </c>
      <c r="E352" t="s">
        <v>1004</v>
      </c>
      <c r="G352" t="s">
        <v>1107</v>
      </c>
      <c r="I352" t="s">
        <v>1099</v>
      </c>
      <c r="J352" t="s">
        <v>420</v>
      </c>
      <c r="K352" t="s">
        <v>6</v>
      </c>
      <c r="L352" t="s">
        <v>409</v>
      </c>
      <c r="M352" t="s">
        <v>141</v>
      </c>
      <c r="N352" t="s">
        <v>27</v>
      </c>
      <c r="O352" t="s">
        <v>148</v>
      </c>
      <c r="P352" t="s">
        <v>33</v>
      </c>
      <c r="Q352" t="s">
        <v>178</v>
      </c>
    </row>
    <row r="353" spans="1:19">
      <c r="A353" t="s">
        <v>27</v>
      </c>
      <c r="B353" t="s">
        <v>148</v>
      </c>
      <c r="C353" t="s">
        <v>33</v>
      </c>
      <c r="D353" t="s">
        <v>178</v>
      </c>
      <c r="E353" t="s">
        <v>1005</v>
      </c>
      <c r="G353" t="s">
        <v>1107</v>
      </c>
      <c r="I353" t="s">
        <v>1099</v>
      </c>
      <c r="J353" t="s">
        <v>420</v>
      </c>
      <c r="K353" t="s">
        <v>6</v>
      </c>
      <c r="L353" t="s">
        <v>409</v>
      </c>
      <c r="M353" t="s">
        <v>141</v>
      </c>
      <c r="N353" t="s">
        <v>27</v>
      </c>
      <c r="O353" t="s">
        <v>148</v>
      </c>
      <c r="P353" t="s">
        <v>33</v>
      </c>
      <c r="Q353" t="s">
        <v>178</v>
      </c>
    </row>
    <row r="354" spans="1:19">
      <c r="A354" t="s">
        <v>27</v>
      </c>
      <c r="B354" t="s">
        <v>148</v>
      </c>
      <c r="C354" t="s">
        <v>33</v>
      </c>
      <c r="D354" t="s">
        <v>178</v>
      </c>
      <c r="E354" t="s">
        <v>1006</v>
      </c>
      <c r="G354" t="s">
        <v>1107</v>
      </c>
      <c r="I354" t="s">
        <v>1099</v>
      </c>
      <c r="J354" t="s">
        <v>420</v>
      </c>
      <c r="K354" t="s">
        <v>6</v>
      </c>
      <c r="L354" t="s">
        <v>409</v>
      </c>
      <c r="M354" t="s">
        <v>141</v>
      </c>
      <c r="N354" t="s">
        <v>27</v>
      </c>
      <c r="O354" t="s">
        <v>148</v>
      </c>
      <c r="P354" t="s">
        <v>33</v>
      </c>
      <c r="Q354" t="s">
        <v>178</v>
      </c>
    </row>
    <row r="355" spans="1:19">
      <c r="A355" t="s">
        <v>27</v>
      </c>
      <c r="B355" t="s">
        <v>148</v>
      </c>
      <c r="C355" t="s">
        <v>33</v>
      </c>
      <c r="D355" t="s">
        <v>178</v>
      </c>
      <c r="E355" t="s">
        <v>1007</v>
      </c>
      <c r="F355" t="s">
        <v>1008</v>
      </c>
      <c r="G355" t="s">
        <v>1107</v>
      </c>
      <c r="I355" t="s">
        <v>1099</v>
      </c>
      <c r="J355" t="s">
        <v>420</v>
      </c>
      <c r="K355" t="s">
        <v>6</v>
      </c>
      <c r="L355" t="s">
        <v>409</v>
      </c>
      <c r="M355" t="s">
        <v>141</v>
      </c>
      <c r="N355" t="s">
        <v>27</v>
      </c>
      <c r="O355" t="s">
        <v>148</v>
      </c>
      <c r="P355" t="s">
        <v>33</v>
      </c>
      <c r="Q355" t="s">
        <v>178</v>
      </c>
      <c r="R355">
        <v>13.986330000000001</v>
      </c>
      <c r="S355">
        <v>11.154783</v>
      </c>
    </row>
    <row r="356" spans="1:19">
      <c r="A356" t="s">
        <v>27</v>
      </c>
      <c r="B356" t="s">
        <v>148</v>
      </c>
      <c r="C356" t="s">
        <v>33</v>
      </c>
      <c r="D356" t="s">
        <v>178</v>
      </c>
      <c r="E356" t="s">
        <v>1009</v>
      </c>
      <c r="F356" t="s">
        <v>1010</v>
      </c>
      <c r="G356" t="s">
        <v>1107</v>
      </c>
      <c r="I356" t="s">
        <v>1099</v>
      </c>
      <c r="J356" t="s">
        <v>420</v>
      </c>
      <c r="K356" t="s">
        <v>6</v>
      </c>
      <c r="L356" t="s">
        <v>409</v>
      </c>
      <c r="M356" t="s">
        <v>141</v>
      </c>
      <c r="N356" t="s">
        <v>27</v>
      </c>
      <c r="O356" t="s">
        <v>148</v>
      </c>
      <c r="P356" t="s">
        <v>33</v>
      </c>
      <c r="Q356" t="s">
        <v>178</v>
      </c>
      <c r="R356">
        <v>13.954986999999999</v>
      </c>
      <c r="S356">
        <v>11.245374</v>
      </c>
    </row>
    <row r="357" spans="1:19">
      <c r="A357" t="s">
        <v>27</v>
      </c>
      <c r="B357" t="s">
        <v>148</v>
      </c>
      <c r="C357" t="s">
        <v>33</v>
      </c>
      <c r="D357" t="s">
        <v>178</v>
      </c>
      <c r="E357" t="s">
        <v>1011</v>
      </c>
      <c r="F357" t="s">
        <v>1012</v>
      </c>
      <c r="G357" t="s">
        <v>1107</v>
      </c>
      <c r="I357" t="s">
        <v>1099</v>
      </c>
      <c r="J357" t="s">
        <v>420</v>
      </c>
      <c r="K357" t="s">
        <v>6</v>
      </c>
      <c r="L357" t="s">
        <v>409</v>
      </c>
      <c r="M357" t="s">
        <v>141</v>
      </c>
      <c r="N357" t="s">
        <v>27</v>
      </c>
      <c r="O357" t="s">
        <v>148</v>
      </c>
      <c r="P357" t="s">
        <v>33</v>
      </c>
      <c r="Q357" t="s">
        <v>178</v>
      </c>
      <c r="R357">
        <v>14.134537</v>
      </c>
      <c r="S357">
        <v>11.136668</v>
      </c>
    </row>
    <row r="358" spans="1:19">
      <c r="A358" t="s">
        <v>27</v>
      </c>
      <c r="B358" t="s">
        <v>148</v>
      </c>
      <c r="C358" t="s">
        <v>33</v>
      </c>
      <c r="D358" t="s">
        <v>178</v>
      </c>
      <c r="E358" t="s">
        <v>1013</v>
      </c>
      <c r="F358" t="s">
        <v>1014</v>
      </c>
      <c r="G358" t="s">
        <v>1107</v>
      </c>
      <c r="I358" t="s">
        <v>1099</v>
      </c>
      <c r="J358" t="s">
        <v>420</v>
      </c>
      <c r="K358" t="s">
        <v>6</v>
      </c>
      <c r="L358" t="s">
        <v>409</v>
      </c>
      <c r="M358" t="s">
        <v>141</v>
      </c>
      <c r="N358" t="s">
        <v>27</v>
      </c>
      <c r="O358" t="s">
        <v>148</v>
      </c>
      <c r="P358" t="s">
        <v>33</v>
      </c>
      <c r="Q358" t="s">
        <v>178</v>
      </c>
      <c r="R358">
        <v>13.959075</v>
      </c>
      <c r="S358">
        <v>11.217971</v>
      </c>
    </row>
    <row r="359" spans="1:19">
      <c r="A359" t="s">
        <v>27</v>
      </c>
      <c r="B359" t="s">
        <v>148</v>
      </c>
      <c r="C359" t="s">
        <v>33</v>
      </c>
      <c r="D359" t="s">
        <v>178</v>
      </c>
      <c r="E359" t="s">
        <v>1015</v>
      </c>
      <c r="F359" t="s">
        <v>1016</v>
      </c>
      <c r="G359" t="s">
        <v>1107</v>
      </c>
      <c r="I359" t="s">
        <v>1099</v>
      </c>
      <c r="J359" t="s">
        <v>420</v>
      </c>
      <c r="K359" t="s">
        <v>6</v>
      </c>
      <c r="L359" t="s">
        <v>409</v>
      </c>
      <c r="M359" t="s">
        <v>141</v>
      </c>
      <c r="N359" t="s">
        <v>27</v>
      </c>
      <c r="O359" t="s">
        <v>148</v>
      </c>
      <c r="P359" t="s">
        <v>33</v>
      </c>
      <c r="Q359" t="s">
        <v>178</v>
      </c>
      <c r="R359">
        <v>14.03595</v>
      </c>
      <c r="S359">
        <v>11.219175</v>
      </c>
    </row>
    <row r="360" spans="1:19">
      <c r="A360" t="s">
        <v>27</v>
      </c>
      <c r="B360" t="s">
        <v>148</v>
      </c>
      <c r="C360" t="s">
        <v>33</v>
      </c>
      <c r="D360" t="s">
        <v>178</v>
      </c>
      <c r="E360" t="s">
        <v>1017</v>
      </c>
      <c r="F360" t="s">
        <v>1018</v>
      </c>
      <c r="G360" t="s">
        <v>1107</v>
      </c>
      <c r="I360" t="s">
        <v>1099</v>
      </c>
      <c r="J360" t="s">
        <v>420</v>
      </c>
      <c r="K360" t="s">
        <v>6</v>
      </c>
      <c r="L360" t="s">
        <v>409</v>
      </c>
      <c r="M360" t="s">
        <v>141</v>
      </c>
      <c r="N360" t="s">
        <v>27</v>
      </c>
      <c r="O360" t="s">
        <v>148</v>
      </c>
      <c r="P360" t="s">
        <v>33</v>
      </c>
      <c r="Q360" t="s">
        <v>178</v>
      </c>
      <c r="R360">
        <v>13.913522</v>
      </c>
      <c r="S360">
        <v>11.182525</v>
      </c>
    </row>
    <row r="361" spans="1:19">
      <c r="A361" t="s">
        <v>27</v>
      </c>
      <c r="B361" t="s">
        <v>148</v>
      </c>
      <c r="C361" t="s">
        <v>33</v>
      </c>
      <c r="D361" t="s">
        <v>178</v>
      </c>
      <c r="E361" t="s">
        <v>1019</v>
      </c>
      <c r="F361" t="s">
        <v>1020</v>
      </c>
      <c r="G361" t="s">
        <v>1107</v>
      </c>
      <c r="I361" t="s">
        <v>1099</v>
      </c>
      <c r="J361" t="s">
        <v>420</v>
      </c>
      <c r="K361" t="s">
        <v>6</v>
      </c>
      <c r="L361" t="s">
        <v>409</v>
      </c>
      <c r="M361" t="s">
        <v>141</v>
      </c>
      <c r="N361" t="s">
        <v>27</v>
      </c>
      <c r="O361" t="s">
        <v>148</v>
      </c>
      <c r="P361" t="s">
        <v>33</v>
      </c>
      <c r="Q361" t="s">
        <v>178</v>
      </c>
      <c r="R361">
        <v>14.567500000000001</v>
      </c>
      <c r="S361">
        <v>11.406389000000001</v>
      </c>
    </row>
    <row r="362" spans="1:19">
      <c r="A362" t="s">
        <v>27</v>
      </c>
      <c r="B362" t="s">
        <v>148</v>
      </c>
      <c r="C362" t="s">
        <v>33</v>
      </c>
      <c r="D362" t="s">
        <v>178</v>
      </c>
      <c r="E362" t="s">
        <v>1021</v>
      </c>
      <c r="F362" t="s">
        <v>1022</v>
      </c>
      <c r="G362" t="s">
        <v>1107</v>
      </c>
      <c r="I362" t="s">
        <v>1099</v>
      </c>
      <c r="J362" t="s">
        <v>420</v>
      </c>
      <c r="K362" t="s">
        <v>6</v>
      </c>
      <c r="L362" t="s">
        <v>409</v>
      </c>
      <c r="M362" t="s">
        <v>141</v>
      </c>
      <c r="N362" t="s">
        <v>27</v>
      </c>
      <c r="O362" t="s">
        <v>148</v>
      </c>
      <c r="P362" t="s">
        <v>33</v>
      </c>
      <c r="Q362" t="s">
        <v>178</v>
      </c>
      <c r="R362">
        <v>13.999351000000001</v>
      </c>
      <c r="S362">
        <v>11.243149000000001</v>
      </c>
    </row>
    <row r="363" spans="1:19">
      <c r="A363" t="s">
        <v>27</v>
      </c>
      <c r="B363" t="s">
        <v>148</v>
      </c>
      <c r="C363" t="s">
        <v>33</v>
      </c>
      <c r="D363" t="s">
        <v>178</v>
      </c>
      <c r="E363" t="s">
        <v>1023</v>
      </c>
      <c r="F363" t="s">
        <v>1024</v>
      </c>
      <c r="G363" t="s">
        <v>1107</v>
      </c>
      <c r="I363" t="s">
        <v>1099</v>
      </c>
      <c r="J363" t="s">
        <v>420</v>
      </c>
      <c r="K363" t="s">
        <v>6</v>
      </c>
      <c r="L363" t="s">
        <v>409</v>
      </c>
      <c r="M363" t="s">
        <v>141</v>
      </c>
      <c r="N363" t="s">
        <v>27</v>
      </c>
      <c r="O363" t="s">
        <v>148</v>
      </c>
      <c r="P363" t="s">
        <v>33</v>
      </c>
      <c r="Q363" t="s">
        <v>178</v>
      </c>
      <c r="R363">
        <v>15.108511</v>
      </c>
      <c r="S363">
        <v>11.538745</v>
      </c>
    </row>
    <row r="364" spans="1:19">
      <c r="A364" t="s">
        <v>27</v>
      </c>
      <c r="B364" t="s">
        <v>148</v>
      </c>
      <c r="C364" t="s">
        <v>33</v>
      </c>
      <c r="D364" t="s">
        <v>178</v>
      </c>
      <c r="E364" t="s">
        <v>1025</v>
      </c>
      <c r="F364" t="s">
        <v>1026</v>
      </c>
      <c r="G364" t="s">
        <v>1107</v>
      </c>
      <c r="I364" t="s">
        <v>1099</v>
      </c>
      <c r="J364" t="s">
        <v>420</v>
      </c>
      <c r="K364" t="s">
        <v>6</v>
      </c>
      <c r="L364" t="s">
        <v>409</v>
      </c>
      <c r="M364" t="s">
        <v>141</v>
      </c>
      <c r="N364" t="s">
        <v>27</v>
      </c>
      <c r="O364" t="s">
        <v>148</v>
      </c>
      <c r="P364" t="s">
        <v>33</v>
      </c>
      <c r="Q364" t="s">
        <v>178</v>
      </c>
      <c r="R364">
        <v>14.005390999999999</v>
      </c>
      <c r="S364">
        <v>11.175499</v>
      </c>
    </row>
    <row r="365" spans="1:19">
      <c r="A365" t="s">
        <v>27</v>
      </c>
      <c r="B365" t="s">
        <v>148</v>
      </c>
      <c r="C365" t="s">
        <v>33</v>
      </c>
      <c r="D365" t="s">
        <v>178</v>
      </c>
      <c r="E365" t="s">
        <v>1027</v>
      </c>
      <c r="F365" t="s">
        <v>1028</v>
      </c>
      <c r="G365" t="s">
        <v>1107</v>
      </c>
      <c r="I365" t="s">
        <v>1099</v>
      </c>
      <c r="J365" t="s">
        <v>420</v>
      </c>
      <c r="K365" t="s">
        <v>6</v>
      </c>
      <c r="L365" t="s">
        <v>409</v>
      </c>
      <c r="M365" t="s">
        <v>141</v>
      </c>
      <c r="N365" t="s">
        <v>27</v>
      </c>
      <c r="O365" t="s">
        <v>148</v>
      </c>
      <c r="P365" t="s">
        <v>33</v>
      </c>
      <c r="Q365" t="s">
        <v>178</v>
      </c>
      <c r="R365">
        <v>14.021100000000001</v>
      </c>
      <c r="S365">
        <v>11.283892</v>
      </c>
    </row>
    <row r="366" spans="1:19">
      <c r="A366" t="s">
        <v>27</v>
      </c>
      <c r="B366" t="s">
        <v>148</v>
      </c>
      <c r="C366" t="s">
        <v>33</v>
      </c>
      <c r="D366" t="s">
        <v>178</v>
      </c>
      <c r="E366" t="s">
        <v>1029</v>
      </c>
      <c r="F366" t="s">
        <v>1030</v>
      </c>
      <c r="G366" t="s">
        <v>1107</v>
      </c>
      <c r="I366" t="s">
        <v>1099</v>
      </c>
      <c r="J366" t="s">
        <v>420</v>
      </c>
      <c r="K366" t="s">
        <v>6</v>
      </c>
      <c r="L366" t="s">
        <v>409</v>
      </c>
      <c r="M366" t="s">
        <v>141</v>
      </c>
      <c r="N366" t="s">
        <v>27</v>
      </c>
      <c r="O366" t="s">
        <v>148</v>
      </c>
      <c r="P366" t="s">
        <v>33</v>
      </c>
      <c r="Q366" t="s">
        <v>178</v>
      </c>
      <c r="R366">
        <v>14.011429</v>
      </c>
      <c r="S366">
        <v>11.193899999999999</v>
      </c>
    </row>
    <row r="367" spans="1:19">
      <c r="A367" t="s">
        <v>27</v>
      </c>
      <c r="B367" t="s">
        <v>148</v>
      </c>
      <c r="C367" t="s">
        <v>33</v>
      </c>
      <c r="D367" t="s">
        <v>178</v>
      </c>
      <c r="E367" t="s">
        <v>1031</v>
      </c>
      <c r="F367" t="s">
        <v>1032</v>
      </c>
      <c r="G367" t="s">
        <v>1107</v>
      </c>
      <c r="I367" t="s">
        <v>1099</v>
      </c>
      <c r="J367" t="s">
        <v>420</v>
      </c>
      <c r="K367" t="s">
        <v>6</v>
      </c>
      <c r="L367" t="s">
        <v>409</v>
      </c>
      <c r="M367" t="s">
        <v>141</v>
      </c>
      <c r="N367" t="s">
        <v>27</v>
      </c>
      <c r="O367" t="s">
        <v>148</v>
      </c>
      <c r="P367" t="s">
        <v>33</v>
      </c>
      <c r="Q367" t="s">
        <v>178</v>
      </c>
      <c r="R367">
        <v>13.951663</v>
      </c>
      <c r="S367">
        <v>11.150494999999999</v>
      </c>
    </row>
    <row r="368" spans="1:19">
      <c r="A368" t="s">
        <v>27</v>
      </c>
      <c r="B368" t="s">
        <v>148</v>
      </c>
      <c r="C368" t="s">
        <v>33</v>
      </c>
      <c r="D368" t="s">
        <v>178</v>
      </c>
      <c r="E368" t="s">
        <v>1033</v>
      </c>
      <c r="F368" t="s">
        <v>1034</v>
      </c>
      <c r="G368" t="s">
        <v>1107</v>
      </c>
      <c r="I368" t="s">
        <v>1099</v>
      </c>
      <c r="J368" t="s">
        <v>420</v>
      </c>
      <c r="K368" t="s">
        <v>6</v>
      </c>
      <c r="L368" t="s">
        <v>409</v>
      </c>
      <c r="M368" t="s">
        <v>141</v>
      </c>
      <c r="N368" t="s">
        <v>27</v>
      </c>
      <c r="O368" t="s">
        <v>148</v>
      </c>
      <c r="P368" t="s">
        <v>33</v>
      </c>
      <c r="Q368" t="s">
        <v>178</v>
      </c>
      <c r="R368">
        <v>14.01619</v>
      </c>
      <c r="S368">
        <v>11.182674</v>
      </c>
    </row>
    <row r="369" spans="1:19">
      <c r="A369" t="s">
        <v>27</v>
      </c>
      <c r="B369" t="s">
        <v>148</v>
      </c>
      <c r="C369" t="s">
        <v>28</v>
      </c>
      <c r="D369" t="s">
        <v>179</v>
      </c>
      <c r="E369" t="s">
        <v>872</v>
      </c>
      <c r="G369" t="s">
        <v>1107</v>
      </c>
      <c r="I369" t="s">
        <v>1099</v>
      </c>
      <c r="J369" t="s">
        <v>420</v>
      </c>
      <c r="K369" t="s">
        <v>6</v>
      </c>
      <c r="L369" t="s">
        <v>409</v>
      </c>
      <c r="M369" t="s">
        <v>141</v>
      </c>
      <c r="N369" t="s">
        <v>27</v>
      </c>
      <c r="O369" t="s">
        <v>148</v>
      </c>
      <c r="P369" t="s">
        <v>28</v>
      </c>
      <c r="Q369" t="s">
        <v>179</v>
      </c>
    </row>
    <row r="370" spans="1:19">
      <c r="A370" t="s">
        <v>27</v>
      </c>
      <c r="B370" t="s">
        <v>148</v>
      </c>
      <c r="C370" t="s">
        <v>28</v>
      </c>
      <c r="D370" t="s">
        <v>179</v>
      </c>
      <c r="E370" t="s">
        <v>870</v>
      </c>
      <c r="G370" t="s">
        <v>1107</v>
      </c>
      <c r="I370" t="s">
        <v>1099</v>
      </c>
      <c r="J370" t="s">
        <v>420</v>
      </c>
      <c r="K370" t="s">
        <v>6</v>
      </c>
      <c r="L370" t="s">
        <v>409</v>
      </c>
      <c r="M370" t="s">
        <v>141</v>
      </c>
      <c r="N370" t="s">
        <v>27</v>
      </c>
      <c r="O370" t="s">
        <v>148</v>
      </c>
      <c r="P370" t="s">
        <v>28</v>
      </c>
      <c r="Q370" t="s">
        <v>179</v>
      </c>
    </row>
    <row r="371" spans="1:19">
      <c r="A371" t="s">
        <v>27</v>
      </c>
      <c r="B371" t="s">
        <v>148</v>
      </c>
      <c r="C371" t="s">
        <v>28</v>
      </c>
      <c r="D371" t="s">
        <v>179</v>
      </c>
      <c r="E371" t="s">
        <v>871</v>
      </c>
      <c r="G371" t="s">
        <v>1107</v>
      </c>
      <c r="I371" t="s">
        <v>1099</v>
      </c>
      <c r="J371" t="s">
        <v>420</v>
      </c>
      <c r="K371" t="s">
        <v>6</v>
      </c>
      <c r="L371" t="s">
        <v>409</v>
      </c>
      <c r="M371" t="s">
        <v>141</v>
      </c>
      <c r="N371" t="s">
        <v>27</v>
      </c>
      <c r="O371" t="s">
        <v>148</v>
      </c>
      <c r="P371" t="s">
        <v>28</v>
      </c>
      <c r="Q371" t="s">
        <v>179</v>
      </c>
    </row>
    <row r="372" spans="1:19">
      <c r="A372" t="s">
        <v>27</v>
      </c>
      <c r="B372" t="s">
        <v>148</v>
      </c>
      <c r="C372" t="s">
        <v>28</v>
      </c>
      <c r="D372" t="s">
        <v>179</v>
      </c>
      <c r="E372" t="s">
        <v>868</v>
      </c>
      <c r="G372" t="s">
        <v>1107</v>
      </c>
      <c r="I372" t="s">
        <v>1099</v>
      </c>
      <c r="J372" t="s">
        <v>420</v>
      </c>
      <c r="K372" t="s">
        <v>6</v>
      </c>
      <c r="L372" t="s">
        <v>409</v>
      </c>
      <c r="M372" t="s">
        <v>141</v>
      </c>
      <c r="N372" t="s">
        <v>27</v>
      </c>
      <c r="O372" t="s">
        <v>148</v>
      </c>
      <c r="P372" t="s">
        <v>28</v>
      </c>
      <c r="Q372" t="s">
        <v>179</v>
      </c>
    </row>
    <row r="373" spans="1:19">
      <c r="A373" t="s">
        <v>27</v>
      </c>
      <c r="B373" t="s">
        <v>148</v>
      </c>
      <c r="C373" t="s">
        <v>28</v>
      </c>
      <c r="D373" t="s">
        <v>179</v>
      </c>
      <c r="E373" t="s">
        <v>867</v>
      </c>
      <c r="G373" t="s">
        <v>1107</v>
      </c>
      <c r="I373" t="s">
        <v>1099</v>
      </c>
      <c r="J373" t="s">
        <v>420</v>
      </c>
      <c r="K373" t="s">
        <v>6</v>
      </c>
      <c r="L373" t="s">
        <v>409</v>
      </c>
      <c r="M373" t="s">
        <v>141</v>
      </c>
      <c r="N373" t="s">
        <v>27</v>
      </c>
      <c r="O373" t="s">
        <v>148</v>
      </c>
      <c r="P373" t="s">
        <v>28</v>
      </c>
      <c r="Q373" t="s">
        <v>179</v>
      </c>
    </row>
    <row r="374" spans="1:19">
      <c r="A374" t="s">
        <v>27</v>
      </c>
      <c r="B374" t="s">
        <v>148</v>
      </c>
      <c r="C374" t="s">
        <v>28</v>
      </c>
      <c r="D374" t="s">
        <v>179</v>
      </c>
      <c r="E374" t="s">
        <v>869</v>
      </c>
      <c r="G374" t="s">
        <v>1108</v>
      </c>
      <c r="I374" t="s">
        <v>1099</v>
      </c>
      <c r="J374" t="s">
        <v>420</v>
      </c>
      <c r="K374" t="s">
        <v>6</v>
      </c>
      <c r="L374" t="s">
        <v>409</v>
      </c>
      <c r="M374" t="s">
        <v>141</v>
      </c>
      <c r="N374" t="s">
        <v>27</v>
      </c>
      <c r="O374" t="s">
        <v>148</v>
      </c>
      <c r="P374" t="s">
        <v>33</v>
      </c>
      <c r="Q374" t="s">
        <v>178</v>
      </c>
    </row>
    <row r="375" spans="1:19">
      <c r="A375" t="s">
        <v>27</v>
      </c>
      <c r="B375" t="s">
        <v>148</v>
      </c>
      <c r="C375" t="s">
        <v>28</v>
      </c>
      <c r="D375" t="s">
        <v>179</v>
      </c>
      <c r="E375" t="s">
        <v>336</v>
      </c>
      <c r="F375" t="s">
        <v>91</v>
      </c>
      <c r="G375" t="s">
        <v>1107</v>
      </c>
      <c r="I375" t="s">
        <v>1099</v>
      </c>
      <c r="J375" t="s">
        <v>420</v>
      </c>
      <c r="K375" t="s">
        <v>6</v>
      </c>
      <c r="L375" t="s">
        <v>409</v>
      </c>
      <c r="M375" t="s">
        <v>141</v>
      </c>
      <c r="N375" t="s">
        <v>27</v>
      </c>
      <c r="O375" t="s">
        <v>148</v>
      </c>
      <c r="P375" t="s">
        <v>28</v>
      </c>
      <c r="Q375" t="s">
        <v>179</v>
      </c>
      <c r="R375">
        <v>14.068830999999999</v>
      </c>
      <c r="S375">
        <v>10.989825</v>
      </c>
    </row>
    <row r="376" spans="1:19">
      <c r="A376" t="s">
        <v>27</v>
      </c>
      <c r="B376" t="s">
        <v>148</v>
      </c>
      <c r="C376" t="s">
        <v>28</v>
      </c>
      <c r="D376" t="s">
        <v>179</v>
      </c>
      <c r="E376" t="s">
        <v>338</v>
      </c>
      <c r="F376" t="s">
        <v>337</v>
      </c>
      <c r="G376" t="s">
        <v>1107</v>
      </c>
      <c r="I376" t="s">
        <v>1099</v>
      </c>
      <c r="J376" t="s">
        <v>420</v>
      </c>
      <c r="K376" t="s">
        <v>6</v>
      </c>
      <c r="L376" t="s">
        <v>409</v>
      </c>
      <c r="M376" t="s">
        <v>141</v>
      </c>
      <c r="N376" t="s">
        <v>27</v>
      </c>
      <c r="O376" t="s">
        <v>148</v>
      </c>
      <c r="P376" t="s">
        <v>28</v>
      </c>
      <c r="Q376" t="s">
        <v>179</v>
      </c>
      <c r="R376">
        <v>14.096667</v>
      </c>
      <c r="S376">
        <v>11.011945000000001</v>
      </c>
    </row>
    <row r="377" spans="1:19">
      <c r="A377" t="s">
        <v>27</v>
      </c>
      <c r="B377" t="s">
        <v>148</v>
      </c>
      <c r="C377" t="s">
        <v>139</v>
      </c>
      <c r="D377" t="s">
        <v>180</v>
      </c>
      <c r="E377" t="s">
        <v>877</v>
      </c>
      <c r="G377" t="s">
        <v>1107</v>
      </c>
      <c r="I377" t="s">
        <v>1099</v>
      </c>
      <c r="J377" t="s">
        <v>420</v>
      </c>
      <c r="K377" t="s">
        <v>6</v>
      </c>
      <c r="L377" t="s">
        <v>409</v>
      </c>
      <c r="M377" t="s">
        <v>141</v>
      </c>
      <c r="N377" t="s">
        <v>27</v>
      </c>
      <c r="O377" t="s">
        <v>148</v>
      </c>
      <c r="P377" t="s">
        <v>28</v>
      </c>
      <c r="Q377" t="s">
        <v>179</v>
      </c>
    </row>
    <row r="378" spans="1:19">
      <c r="A378" t="s">
        <v>27</v>
      </c>
      <c r="B378" t="s">
        <v>148</v>
      </c>
      <c r="C378" t="s">
        <v>139</v>
      </c>
      <c r="D378" t="s">
        <v>180</v>
      </c>
      <c r="E378" t="s">
        <v>878</v>
      </c>
      <c r="G378" t="s">
        <v>1107</v>
      </c>
      <c r="I378" t="s">
        <v>1099</v>
      </c>
      <c r="J378" t="s">
        <v>420</v>
      </c>
      <c r="K378" t="s">
        <v>6</v>
      </c>
      <c r="L378" t="s">
        <v>409</v>
      </c>
      <c r="M378" t="s">
        <v>141</v>
      </c>
      <c r="N378" t="s">
        <v>27</v>
      </c>
      <c r="O378" t="s">
        <v>148</v>
      </c>
      <c r="P378" t="s">
        <v>33</v>
      </c>
      <c r="Q378" t="s">
        <v>178</v>
      </c>
    </row>
    <row r="379" spans="1:19">
      <c r="A379" t="s">
        <v>27</v>
      </c>
      <c r="B379" t="s">
        <v>148</v>
      </c>
      <c r="C379" t="s">
        <v>139</v>
      </c>
      <c r="D379" t="s">
        <v>180</v>
      </c>
      <c r="E379" t="s">
        <v>874</v>
      </c>
      <c r="G379" t="s">
        <v>1107</v>
      </c>
      <c r="I379" t="s">
        <v>1099</v>
      </c>
      <c r="J379" t="s">
        <v>420</v>
      </c>
      <c r="K379" t="s">
        <v>6</v>
      </c>
      <c r="L379" t="s">
        <v>409</v>
      </c>
      <c r="M379" t="s">
        <v>141</v>
      </c>
      <c r="N379" t="s">
        <v>27</v>
      </c>
      <c r="O379" t="s">
        <v>148</v>
      </c>
      <c r="P379" t="s">
        <v>28</v>
      </c>
      <c r="Q379" t="s">
        <v>179</v>
      </c>
    </row>
    <row r="380" spans="1:19">
      <c r="A380" t="s">
        <v>27</v>
      </c>
      <c r="B380" t="s">
        <v>148</v>
      </c>
      <c r="C380" t="s">
        <v>139</v>
      </c>
      <c r="D380" t="s">
        <v>180</v>
      </c>
      <c r="E380" t="s">
        <v>885</v>
      </c>
      <c r="G380" t="s">
        <v>1107</v>
      </c>
      <c r="I380" t="s">
        <v>1099</v>
      </c>
      <c r="J380" t="s">
        <v>420</v>
      </c>
      <c r="K380" t="s">
        <v>6</v>
      </c>
      <c r="L380" t="s">
        <v>409</v>
      </c>
      <c r="M380" t="s">
        <v>141</v>
      </c>
      <c r="N380" t="s">
        <v>27</v>
      </c>
      <c r="O380" t="s">
        <v>148</v>
      </c>
      <c r="P380" t="s">
        <v>28</v>
      </c>
      <c r="Q380" t="s">
        <v>179</v>
      </c>
    </row>
    <row r="381" spans="1:19">
      <c r="A381" t="s">
        <v>27</v>
      </c>
      <c r="B381" t="s">
        <v>148</v>
      </c>
      <c r="C381" t="s">
        <v>139</v>
      </c>
      <c r="D381" t="s">
        <v>180</v>
      </c>
      <c r="E381" t="s">
        <v>873</v>
      </c>
      <c r="G381" t="s">
        <v>1107</v>
      </c>
      <c r="I381" t="s">
        <v>1099</v>
      </c>
      <c r="J381" t="s">
        <v>420</v>
      </c>
      <c r="K381" t="s">
        <v>6</v>
      </c>
      <c r="L381" t="s">
        <v>409</v>
      </c>
      <c r="M381" t="s">
        <v>141</v>
      </c>
      <c r="N381" t="s">
        <v>27</v>
      </c>
      <c r="O381" t="s">
        <v>148</v>
      </c>
      <c r="P381" t="s">
        <v>33</v>
      </c>
      <c r="Q381" t="s">
        <v>178</v>
      </c>
    </row>
    <row r="382" spans="1:19">
      <c r="A382" t="s">
        <v>27</v>
      </c>
      <c r="B382" t="s">
        <v>148</v>
      </c>
      <c r="C382" t="s">
        <v>139</v>
      </c>
      <c r="D382" t="s">
        <v>180</v>
      </c>
      <c r="E382" t="s">
        <v>879</v>
      </c>
      <c r="G382" t="s">
        <v>1107</v>
      </c>
      <c r="I382" t="s">
        <v>1099</v>
      </c>
      <c r="J382" t="s">
        <v>420</v>
      </c>
      <c r="K382" t="s">
        <v>6</v>
      </c>
      <c r="L382" t="s">
        <v>409</v>
      </c>
      <c r="M382" t="s">
        <v>141</v>
      </c>
      <c r="N382" t="s">
        <v>27</v>
      </c>
      <c r="O382" t="s">
        <v>148</v>
      </c>
      <c r="P382" t="s">
        <v>28</v>
      </c>
      <c r="Q382" t="s">
        <v>179</v>
      </c>
    </row>
    <row r="383" spans="1:19">
      <c r="A383" t="s">
        <v>27</v>
      </c>
      <c r="B383" t="s">
        <v>148</v>
      </c>
      <c r="C383" t="s">
        <v>139</v>
      </c>
      <c r="D383" t="s">
        <v>180</v>
      </c>
      <c r="E383" t="s">
        <v>335</v>
      </c>
      <c r="F383" t="s">
        <v>334</v>
      </c>
      <c r="G383" t="s">
        <v>1107</v>
      </c>
      <c r="I383" t="s">
        <v>1099</v>
      </c>
      <c r="J383" t="s">
        <v>420</v>
      </c>
      <c r="K383" t="s">
        <v>6</v>
      </c>
      <c r="L383" t="s">
        <v>409</v>
      </c>
      <c r="M383" t="s">
        <v>141</v>
      </c>
      <c r="N383" t="s">
        <v>27</v>
      </c>
      <c r="O383" t="s">
        <v>148</v>
      </c>
      <c r="P383" t="s">
        <v>28</v>
      </c>
      <c r="Q383" t="s">
        <v>179</v>
      </c>
      <c r="R383">
        <v>14.206543999999999</v>
      </c>
      <c r="S383">
        <v>10.872706000000001</v>
      </c>
    </row>
    <row r="384" spans="1:19">
      <c r="A384" t="s">
        <v>27</v>
      </c>
      <c r="B384" t="s">
        <v>148</v>
      </c>
      <c r="C384" t="s">
        <v>139</v>
      </c>
      <c r="D384" t="s">
        <v>180</v>
      </c>
      <c r="E384" t="s">
        <v>880</v>
      </c>
      <c r="F384" t="s">
        <v>881</v>
      </c>
      <c r="G384" t="s">
        <v>1107</v>
      </c>
      <c r="I384" t="s">
        <v>1099</v>
      </c>
      <c r="J384" t="s">
        <v>420</v>
      </c>
      <c r="K384" t="s">
        <v>6</v>
      </c>
      <c r="L384" t="s">
        <v>409</v>
      </c>
      <c r="M384" t="s">
        <v>141</v>
      </c>
      <c r="N384" t="s">
        <v>27</v>
      </c>
      <c r="O384" t="s">
        <v>148</v>
      </c>
      <c r="P384" t="s">
        <v>28</v>
      </c>
      <c r="Q384" t="s">
        <v>179</v>
      </c>
      <c r="R384">
        <v>14.089729</v>
      </c>
      <c r="S384">
        <v>10.931367</v>
      </c>
    </row>
    <row r="385" spans="1:19">
      <c r="A385" t="s">
        <v>27</v>
      </c>
      <c r="B385" t="s">
        <v>148</v>
      </c>
      <c r="C385" t="s">
        <v>139</v>
      </c>
      <c r="D385" t="s">
        <v>180</v>
      </c>
      <c r="E385" t="s">
        <v>886</v>
      </c>
      <c r="F385" t="s">
        <v>887</v>
      </c>
      <c r="G385" t="s">
        <v>1107</v>
      </c>
      <c r="I385" t="s">
        <v>1099</v>
      </c>
      <c r="J385" t="s">
        <v>420</v>
      </c>
      <c r="K385" t="s">
        <v>6</v>
      </c>
      <c r="L385" t="s">
        <v>409</v>
      </c>
      <c r="M385" t="s">
        <v>141</v>
      </c>
      <c r="N385" t="s">
        <v>27</v>
      </c>
      <c r="O385" t="s">
        <v>148</v>
      </c>
      <c r="P385" t="s">
        <v>28</v>
      </c>
      <c r="Q385" t="s">
        <v>179</v>
      </c>
      <c r="R385">
        <v>14.079658999999999</v>
      </c>
      <c r="S385">
        <v>10.874034</v>
      </c>
    </row>
    <row r="386" spans="1:19">
      <c r="A386" t="s">
        <v>27</v>
      </c>
      <c r="B386" t="s">
        <v>148</v>
      </c>
      <c r="C386" t="s">
        <v>139</v>
      </c>
      <c r="D386" t="s">
        <v>180</v>
      </c>
      <c r="E386" t="s">
        <v>875</v>
      </c>
      <c r="F386" t="s">
        <v>876</v>
      </c>
      <c r="G386" t="s">
        <v>1107</v>
      </c>
      <c r="I386" t="s">
        <v>1099</v>
      </c>
      <c r="J386" t="s">
        <v>420</v>
      </c>
      <c r="K386" t="s">
        <v>6</v>
      </c>
      <c r="L386" t="s">
        <v>409</v>
      </c>
      <c r="M386" t="s">
        <v>141</v>
      </c>
      <c r="N386" t="s">
        <v>27</v>
      </c>
      <c r="O386" t="s">
        <v>148</v>
      </c>
      <c r="P386" t="s">
        <v>33</v>
      </c>
      <c r="Q386" t="s">
        <v>178</v>
      </c>
      <c r="R386">
        <v>14.188212</v>
      </c>
      <c r="S386">
        <v>10.846465</v>
      </c>
    </row>
    <row r="387" spans="1:19">
      <c r="A387" t="s">
        <v>27</v>
      </c>
      <c r="B387" t="s">
        <v>148</v>
      </c>
      <c r="C387" t="s">
        <v>139</v>
      </c>
      <c r="D387" t="s">
        <v>180</v>
      </c>
      <c r="E387" t="s">
        <v>882</v>
      </c>
      <c r="F387" t="s">
        <v>883</v>
      </c>
      <c r="G387" t="s">
        <v>1107</v>
      </c>
      <c r="I387" t="s">
        <v>1099</v>
      </c>
      <c r="J387" t="s">
        <v>420</v>
      </c>
      <c r="K387" t="s">
        <v>6</v>
      </c>
      <c r="L387" t="s">
        <v>409</v>
      </c>
      <c r="M387" t="s">
        <v>141</v>
      </c>
      <c r="N387" t="s">
        <v>27</v>
      </c>
      <c r="O387" t="s">
        <v>148</v>
      </c>
      <c r="P387" t="s">
        <v>28</v>
      </c>
      <c r="Q387" t="s">
        <v>179</v>
      </c>
      <c r="R387">
        <v>14.167531</v>
      </c>
      <c r="S387">
        <v>10.929959999999999</v>
      </c>
    </row>
    <row r="388" spans="1:19">
      <c r="A388" t="s">
        <v>27</v>
      </c>
      <c r="B388" t="s">
        <v>148</v>
      </c>
      <c r="C388" t="s">
        <v>139</v>
      </c>
      <c r="D388" t="s">
        <v>180</v>
      </c>
      <c r="E388" t="s">
        <v>339</v>
      </c>
      <c r="F388" t="s">
        <v>92</v>
      </c>
      <c r="G388" t="s">
        <v>1107</v>
      </c>
      <c r="I388" t="s">
        <v>1099</v>
      </c>
      <c r="J388" t="s">
        <v>420</v>
      </c>
      <c r="K388" t="s">
        <v>6</v>
      </c>
      <c r="L388" t="s">
        <v>409</v>
      </c>
      <c r="M388" t="s">
        <v>141</v>
      </c>
      <c r="N388" t="s">
        <v>27</v>
      </c>
      <c r="O388" t="s">
        <v>148</v>
      </c>
      <c r="P388" t="s">
        <v>33</v>
      </c>
      <c r="Q388" t="s">
        <v>178</v>
      </c>
      <c r="R388">
        <v>14.129439</v>
      </c>
      <c r="S388">
        <v>10.941323000000001</v>
      </c>
    </row>
    <row r="389" spans="1:19">
      <c r="A389" t="s">
        <v>27</v>
      </c>
      <c r="B389" t="s">
        <v>148</v>
      </c>
      <c r="C389" t="s">
        <v>139</v>
      </c>
      <c r="D389" t="s">
        <v>180</v>
      </c>
      <c r="E389" t="s">
        <v>340</v>
      </c>
      <c r="F389" t="s">
        <v>93</v>
      </c>
      <c r="G389" t="s">
        <v>1107</v>
      </c>
      <c r="I389" t="s">
        <v>1099</v>
      </c>
      <c r="J389" t="s">
        <v>420</v>
      </c>
      <c r="K389" t="s">
        <v>6</v>
      </c>
      <c r="L389" t="s">
        <v>409</v>
      </c>
      <c r="M389" t="s">
        <v>141</v>
      </c>
      <c r="N389" t="s">
        <v>27</v>
      </c>
      <c r="O389" t="s">
        <v>148</v>
      </c>
      <c r="P389" t="s">
        <v>28</v>
      </c>
      <c r="Q389" t="s">
        <v>179</v>
      </c>
      <c r="R389">
        <v>14.211192</v>
      </c>
      <c r="S389">
        <v>10.907541</v>
      </c>
    </row>
    <row r="390" spans="1:19">
      <c r="A390" t="s">
        <v>27</v>
      </c>
      <c r="B390" t="s">
        <v>148</v>
      </c>
      <c r="C390" t="s">
        <v>139</v>
      </c>
      <c r="D390" t="s">
        <v>180</v>
      </c>
      <c r="E390" t="s">
        <v>342</v>
      </c>
      <c r="F390" t="s">
        <v>341</v>
      </c>
      <c r="G390" t="s">
        <v>1107</v>
      </c>
      <c r="I390" t="s">
        <v>1099</v>
      </c>
      <c r="J390" t="s">
        <v>420</v>
      </c>
      <c r="K390" t="s">
        <v>6</v>
      </c>
      <c r="L390" t="s">
        <v>409</v>
      </c>
      <c r="M390" t="s">
        <v>141</v>
      </c>
      <c r="N390" t="s">
        <v>27</v>
      </c>
      <c r="O390" t="s">
        <v>148</v>
      </c>
      <c r="P390" t="s">
        <v>33</v>
      </c>
      <c r="Q390" t="s">
        <v>178</v>
      </c>
      <c r="R390">
        <v>14.14254</v>
      </c>
      <c r="S390">
        <v>10.847329999999999</v>
      </c>
    </row>
    <row r="391" spans="1:19">
      <c r="A391" t="s">
        <v>27</v>
      </c>
      <c r="B391" t="s">
        <v>148</v>
      </c>
      <c r="C391" t="s">
        <v>139</v>
      </c>
      <c r="D391" t="s">
        <v>180</v>
      </c>
      <c r="E391" t="s">
        <v>343</v>
      </c>
      <c r="F391" t="s">
        <v>94</v>
      </c>
      <c r="G391" t="s">
        <v>1107</v>
      </c>
      <c r="I391" t="s">
        <v>1099</v>
      </c>
      <c r="J391" t="s">
        <v>420</v>
      </c>
      <c r="K391" t="s">
        <v>6</v>
      </c>
      <c r="L391" t="s">
        <v>409</v>
      </c>
      <c r="M391" t="s">
        <v>141</v>
      </c>
      <c r="N391" t="s">
        <v>27</v>
      </c>
      <c r="O391" t="s">
        <v>148</v>
      </c>
      <c r="P391" t="s">
        <v>28</v>
      </c>
      <c r="Q391" t="s">
        <v>179</v>
      </c>
      <c r="R391">
        <v>14.122687000000001</v>
      </c>
      <c r="S391">
        <v>10.926674999999999</v>
      </c>
    </row>
    <row r="392" spans="1:19">
      <c r="A392" t="s">
        <v>27</v>
      </c>
      <c r="B392" t="s">
        <v>148</v>
      </c>
      <c r="C392" t="s">
        <v>139</v>
      </c>
      <c r="D392" t="s">
        <v>180</v>
      </c>
      <c r="E392" t="s">
        <v>884</v>
      </c>
      <c r="F392" t="s">
        <v>344</v>
      </c>
      <c r="G392" t="s">
        <v>1107</v>
      </c>
      <c r="I392" t="s">
        <v>1099</v>
      </c>
      <c r="J392" t="s">
        <v>420</v>
      </c>
      <c r="K392" t="s">
        <v>6</v>
      </c>
      <c r="L392" t="s">
        <v>409</v>
      </c>
      <c r="M392" t="s">
        <v>141</v>
      </c>
      <c r="N392" t="s">
        <v>27</v>
      </c>
      <c r="O392" t="s">
        <v>148</v>
      </c>
      <c r="P392" t="s">
        <v>28</v>
      </c>
      <c r="Q392" t="s">
        <v>179</v>
      </c>
      <c r="R392">
        <v>14.238848000000001</v>
      </c>
      <c r="S392">
        <v>10.924193000000001</v>
      </c>
    </row>
    <row r="393" spans="1:19">
      <c r="A393" t="s">
        <v>27</v>
      </c>
      <c r="B393" t="s">
        <v>148</v>
      </c>
      <c r="C393" t="s">
        <v>139</v>
      </c>
      <c r="D393" t="s">
        <v>180</v>
      </c>
      <c r="E393" t="s">
        <v>345</v>
      </c>
      <c r="F393" t="s">
        <v>95</v>
      </c>
      <c r="G393" t="s">
        <v>1107</v>
      </c>
      <c r="I393" t="s">
        <v>1099</v>
      </c>
      <c r="J393" t="s">
        <v>420</v>
      </c>
      <c r="K393" t="s">
        <v>6</v>
      </c>
      <c r="L393" t="s">
        <v>409</v>
      </c>
      <c r="M393" t="s">
        <v>141</v>
      </c>
      <c r="N393" t="s">
        <v>27</v>
      </c>
      <c r="O393" t="s">
        <v>148</v>
      </c>
      <c r="P393" t="s">
        <v>28</v>
      </c>
      <c r="Q393" t="s">
        <v>179</v>
      </c>
      <c r="R393">
        <v>14.231452000000001</v>
      </c>
      <c r="S393">
        <v>10.90193</v>
      </c>
    </row>
    <row r="394" spans="1:19">
      <c r="A394" t="s">
        <v>2</v>
      </c>
      <c r="B394" t="s">
        <v>149</v>
      </c>
      <c r="C394" t="s">
        <v>14</v>
      </c>
      <c r="D394" t="s">
        <v>187</v>
      </c>
      <c r="E394" t="s">
        <v>349</v>
      </c>
      <c r="F394" t="s">
        <v>121</v>
      </c>
      <c r="G394" t="s">
        <v>1107</v>
      </c>
      <c r="I394" t="s">
        <v>1099</v>
      </c>
      <c r="J394" t="s">
        <v>420</v>
      </c>
      <c r="K394" t="s">
        <v>6</v>
      </c>
      <c r="L394" t="s">
        <v>409</v>
      </c>
      <c r="M394" t="s">
        <v>141</v>
      </c>
      <c r="N394" t="s">
        <v>2</v>
      </c>
      <c r="O394" t="s">
        <v>149</v>
      </c>
      <c r="P394" t="s">
        <v>16</v>
      </c>
      <c r="Q394" t="s">
        <v>185</v>
      </c>
      <c r="R394">
        <v>13.448722999999999</v>
      </c>
      <c r="S394">
        <v>10.146089999999999</v>
      </c>
    </row>
    <row r="395" spans="1:19">
      <c r="A395" t="s">
        <v>2</v>
      </c>
      <c r="B395" t="s">
        <v>149</v>
      </c>
      <c r="C395" t="s">
        <v>14</v>
      </c>
      <c r="D395" t="s">
        <v>187</v>
      </c>
      <c r="E395" t="s">
        <v>549</v>
      </c>
      <c r="F395" t="s">
        <v>550</v>
      </c>
      <c r="G395" t="s">
        <v>1107</v>
      </c>
      <c r="I395" t="s">
        <v>1099</v>
      </c>
      <c r="J395" t="s">
        <v>420</v>
      </c>
      <c r="K395" t="s">
        <v>6</v>
      </c>
      <c r="L395" t="s">
        <v>511</v>
      </c>
      <c r="M395" t="s">
        <v>143</v>
      </c>
      <c r="N395" t="s">
        <v>551</v>
      </c>
      <c r="O395" t="s">
        <v>405</v>
      </c>
      <c r="P395" t="s">
        <v>552</v>
      </c>
      <c r="Q395" t="s">
        <v>553</v>
      </c>
      <c r="R395">
        <v>13.509168000000001</v>
      </c>
      <c r="S395">
        <v>10.252129999999999</v>
      </c>
    </row>
    <row r="396" spans="1:19">
      <c r="A396" t="s">
        <v>2</v>
      </c>
      <c r="B396" t="s">
        <v>149</v>
      </c>
      <c r="C396" t="s">
        <v>14</v>
      </c>
      <c r="D396" t="s">
        <v>187</v>
      </c>
      <c r="E396" t="s">
        <v>352</v>
      </c>
      <c r="F396" t="s">
        <v>351</v>
      </c>
      <c r="G396" t="s">
        <v>1107</v>
      </c>
      <c r="I396" t="s">
        <v>1099</v>
      </c>
      <c r="J396" t="s">
        <v>420</v>
      </c>
      <c r="K396" t="s">
        <v>6</v>
      </c>
      <c r="L396" t="s">
        <v>409</v>
      </c>
      <c r="M396" t="s">
        <v>141</v>
      </c>
      <c r="N396" t="s">
        <v>2</v>
      </c>
      <c r="O396" t="s">
        <v>149</v>
      </c>
      <c r="P396" t="s">
        <v>14</v>
      </c>
      <c r="Q396" t="s">
        <v>187</v>
      </c>
      <c r="R396">
        <v>13.650656</v>
      </c>
      <c r="S396">
        <v>10.281321999999999</v>
      </c>
    </row>
    <row r="397" spans="1:19">
      <c r="A397" t="s">
        <v>2</v>
      </c>
      <c r="B397" t="s">
        <v>149</v>
      </c>
      <c r="C397" t="s">
        <v>14</v>
      </c>
      <c r="D397" t="s">
        <v>187</v>
      </c>
      <c r="E397" t="s">
        <v>358</v>
      </c>
      <c r="F397" t="s">
        <v>357</v>
      </c>
      <c r="G397" t="s">
        <v>1107</v>
      </c>
      <c r="I397" t="s">
        <v>1099</v>
      </c>
      <c r="J397" t="s">
        <v>420</v>
      </c>
      <c r="K397" t="s">
        <v>6</v>
      </c>
      <c r="L397" t="s">
        <v>409</v>
      </c>
      <c r="M397" t="s">
        <v>141</v>
      </c>
      <c r="N397" t="s">
        <v>2</v>
      </c>
      <c r="O397" t="s">
        <v>149</v>
      </c>
      <c r="P397" t="s">
        <v>35</v>
      </c>
      <c r="Q397" t="s">
        <v>182</v>
      </c>
      <c r="R397">
        <v>13.736020999999999</v>
      </c>
      <c r="S397">
        <v>10.623848000000001</v>
      </c>
    </row>
    <row r="398" spans="1:19">
      <c r="A398" t="s">
        <v>2</v>
      </c>
      <c r="B398" t="s">
        <v>149</v>
      </c>
      <c r="C398" t="s">
        <v>14</v>
      </c>
      <c r="D398" t="s">
        <v>187</v>
      </c>
      <c r="E398" t="s">
        <v>382</v>
      </c>
      <c r="F398" t="s">
        <v>554</v>
      </c>
      <c r="G398" t="s">
        <v>1107</v>
      </c>
      <c r="I398" t="s">
        <v>1099</v>
      </c>
      <c r="J398" t="s">
        <v>420</v>
      </c>
      <c r="K398" t="s">
        <v>6</v>
      </c>
      <c r="L398" t="s">
        <v>409</v>
      </c>
      <c r="M398" t="s">
        <v>141</v>
      </c>
      <c r="N398" t="s">
        <v>2</v>
      </c>
      <c r="O398" t="s">
        <v>149</v>
      </c>
      <c r="P398" t="s">
        <v>16</v>
      </c>
      <c r="Q398" t="s">
        <v>185</v>
      </c>
      <c r="R398">
        <v>13.505383999999999</v>
      </c>
      <c r="S398">
        <v>10.164305000000001</v>
      </c>
    </row>
    <row r="399" spans="1:19">
      <c r="A399" t="s">
        <v>2</v>
      </c>
      <c r="B399" t="s">
        <v>149</v>
      </c>
      <c r="C399" t="s">
        <v>36</v>
      </c>
      <c r="D399" t="s">
        <v>183</v>
      </c>
      <c r="E399" t="s">
        <v>561</v>
      </c>
      <c r="G399" t="s">
        <v>1107</v>
      </c>
      <c r="I399" t="s">
        <v>1099</v>
      </c>
      <c r="J399" t="s">
        <v>420</v>
      </c>
      <c r="K399" t="s">
        <v>6</v>
      </c>
      <c r="L399" t="s">
        <v>409</v>
      </c>
      <c r="M399" t="s">
        <v>141</v>
      </c>
      <c r="N399" t="s">
        <v>2</v>
      </c>
      <c r="O399" t="s">
        <v>149</v>
      </c>
      <c r="P399" t="s">
        <v>99</v>
      </c>
      <c r="Q399" t="s">
        <v>181</v>
      </c>
    </row>
    <row r="400" spans="1:19">
      <c r="A400" t="s">
        <v>2</v>
      </c>
      <c r="B400" t="s">
        <v>149</v>
      </c>
      <c r="C400" t="s">
        <v>36</v>
      </c>
      <c r="D400" t="s">
        <v>183</v>
      </c>
      <c r="E400" t="s">
        <v>109</v>
      </c>
      <c r="G400" t="s">
        <v>1107</v>
      </c>
      <c r="I400" t="s">
        <v>1099</v>
      </c>
      <c r="J400" t="s">
        <v>420</v>
      </c>
      <c r="K400" t="s">
        <v>6</v>
      </c>
      <c r="L400" t="s">
        <v>409</v>
      </c>
      <c r="M400" t="s">
        <v>141</v>
      </c>
      <c r="N400" t="s">
        <v>2</v>
      </c>
      <c r="O400" t="s">
        <v>149</v>
      </c>
      <c r="P400" t="s">
        <v>35</v>
      </c>
      <c r="Q400" t="s">
        <v>182</v>
      </c>
    </row>
    <row r="401" spans="1:19">
      <c r="A401" t="s">
        <v>2</v>
      </c>
      <c r="B401" t="s">
        <v>149</v>
      </c>
      <c r="C401" t="s">
        <v>36</v>
      </c>
      <c r="D401" t="s">
        <v>183</v>
      </c>
      <c r="E401" t="s">
        <v>562</v>
      </c>
      <c r="G401" t="s">
        <v>1107</v>
      </c>
      <c r="I401" t="s">
        <v>1099</v>
      </c>
      <c r="J401" t="s">
        <v>420</v>
      </c>
      <c r="K401" t="s">
        <v>6</v>
      </c>
      <c r="L401" t="s">
        <v>409</v>
      </c>
      <c r="M401" t="s">
        <v>141</v>
      </c>
      <c r="N401" t="s">
        <v>2</v>
      </c>
      <c r="O401" t="s">
        <v>149</v>
      </c>
      <c r="P401" t="s">
        <v>14</v>
      </c>
      <c r="Q401" t="s">
        <v>187</v>
      </c>
    </row>
    <row r="402" spans="1:19">
      <c r="A402" t="s">
        <v>2</v>
      </c>
      <c r="B402" t="s">
        <v>149</v>
      </c>
      <c r="C402" t="s">
        <v>36</v>
      </c>
      <c r="D402" t="s">
        <v>183</v>
      </c>
      <c r="E402" t="s">
        <v>560</v>
      </c>
      <c r="F402" t="s">
        <v>347</v>
      </c>
      <c r="G402" t="s">
        <v>1107</v>
      </c>
      <c r="I402" t="s">
        <v>1099</v>
      </c>
      <c r="J402" t="s">
        <v>420</v>
      </c>
      <c r="K402" t="s">
        <v>6</v>
      </c>
      <c r="L402" t="s">
        <v>409</v>
      </c>
      <c r="M402" t="s">
        <v>141</v>
      </c>
      <c r="N402" t="s">
        <v>2</v>
      </c>
      <c r="O402" t="s">
        <v>149</v>
      </c>
      <c r="P402" t="s">
        <v>3</v>
      </c>
      <c r="Q402" t="s">
        <v>184</v>
      </c>
      <c r="R402">
        <v>13.831623</v>
      </c>
      <c r="S402">
        <v>10.285606</v>
      </c>
    </row>
    <row r="403" spans="1:19">
      <c r="A403" t="s">
        <v>2</v>
      </c>
      <c r="B403" t="s">
        <v>149</v>
      </c>
      <c r="C403" t="s">
        <v>36</v>
      </c>
      <c r="D403" t="s">
        <v>183</v>
      </c>
      <c r="E403" t="s">
        <v>557</v>
      </c>
      <c r="F403" t="s">
        <v>558</v>
      </c>
      <c r="G403" t="s">
        <v>1107</v>
      </c>
      <c r="I403" t="s">
        <v>1099</v>
      </c>
      <c r="J403" t="s">
        <v>420</v>
      </c>
      <c r="K403" t="s">
        <v>6</v>
      </c>
      <c r="L403" t="s">
        <v>409</v>
      </c>
      <c r="M403" t="s">
        <v>141</v>
      </c>
      <c r="N403" t="s">
        <v>2</v>
      </c>
      <c r="O403" t="s">
        <v>149</v>
      </c>
      <c r="P403" t="s">
        <v>99</v>
      </c>
      <c r="Q403" t="s">
        <v>181</v>
      </c>
      <c r="R403">
        <v>13.772053</v>
      </c>
      <c r="S403">
        <v>10.416866000000001</v>
      </c>
    </row>
    <row r="404" spans="1:19">
      <c r="A404" t="s">
        <v>2</v>
      </c>
      <c r="B404" t="s">
        <v>149</v>
      </c>
      <c r="C404" t="s">
        <v>36</v>
      </c>
      <c r="D404" t="s">
        <v>183</v>
      </c>
      <c r="E404" t="s">
        <v>559</v>
      </c>
      <c r="F404" t="s">
        <v>106</v>
      </c>
      <c r="G404" t="s">
        <v>1107</v>
      </c>
      <c r="I404" t="s">
        <v>1099</v>
      </c>
      <c r="J404" t="s">
        <v>420</v>
      </c>
      <c r="K404" t="s">
        <v>6</v>
      </c>
      <c r="L404" t="s">
        <v>409</v>
      </c>
      <c r="M404" t="s">
        <v>141</v>
      </c>
      <c r="N404" t="s">
        <v>2</v>
      </c>
      <c r="O404" t="s">
        <v>149</v>
      </c>
      <c r="P404" t="s">
        <v>3</v>
      </c>
      <c r="Q404" t="s">
        <v>184</v>
      </c>
      <c r="R404">
        <v>13.758098</v>
      </c>
      <c r="S404">
        <v>10.308733999999999</v>
      </c>
    </row>
    <row r="405" spans="1:19">
      <c r="A405" t="s">
        <v>2</v>
      </c>
      <c r="B405" t="s">
        <v>149</v>
      </c>
      <c r="C405" t="s">
        <v>36</v>
      </c>
      <c r="D405" t="s">
        <v>183</v>
      </c>
      <c r="E405" t="s">
        <v>353</v>
      </c>
      <c r="F405" t="s">
        <v>107</v>
      </c>
      <c r="G405" t="s">
        <v>1107</v>
      </c>
      <c r="I405" t="s">
        <v>1099</v>
      </c>
      <c r="J405" t="s">
        <v>420</v>
      </c>
      <c r="K405" t="s">
        <v>6</v>
      </c>
      <c r="L405" t="s">
        <v>409</v>
      </c>
      <c r="M405" t="s">
        <v>141</v>
      </c>
      <c r="N405" t="s">
        <v>2</v>
      </c>
      <c r="O405" t="s">
        <v>149</v>
      </c>
      <c r="P405" t="s">
        <v>3</v>
      </c>
      <c r="Q405" t="s">
        <v>184</v>
      </c>
      <c r="R405">
        <v>13.754284999999999</v>
      </c>
      <c r="S405">
        <v>10.29621</v>
      </c>
    </row>
    <row r="406" spans="1:19">
      <c r="A406" t="s">
        <v>2</v>
      </c>
      <c r="B406" t="s">
        <v>149</v>
      </c>
      <c r="C406" t="s">
        <v>36</v>
      </c>
      <c r="D406" t="s">
        <v>183</v>
      </c>
      <c r="E406" t="s">
        <v>555</v>
      </c>
      <c r="F406" t="s">
        <v>556</v>
      </c>
      <c r="G406" t="s">
        <v>1107</v>
      </c>
      <c r="I406" t="s">
        <v>1099</v>
      </c>
      <c r="J406" t="s">
        <v>420</v>
      </c>
      <c r="K406" t="s">
        <v>6</v>
      </c>
      <c r="L406" t="s">
        <v>409</v>
      </c>
      <c r="M406" t="s">
        <v>141</v>
      </c>
      <c r="N406" t="s">
        <v>2</v>
      </c>
      <c r="O406" t="s">
        <v>149</v>
      </c>
      <c r="P406" t="s">
        <v>14</v>
      </c>
      <c r="Q406" t="s">
        <v>187</v>
      </c>
      <c r="R406">
        <v>13.851293999999999</v>
      </c>
      <c r="S406">
        <v>10.363315</v>
      </c>
    </row>
    <row r="407" spans="1:19">
      <c r="A407" t="s">
        <v>2</v>
      </c>
      <c r="B407" t="s">
        <v>149</v>
      </c>
      <c r="C407" t="s">
        <v>36</v>
      </c>
      <c r="D407" t="s">
        <v>183</v>
      </c>
      <c r="E407" t="s">
        <v>359</v>
      </c>
      <c r="F407" t="s">
        <v>108</v>
      </c>
      <c r="G407" t="s">
        <v>1107</v>
      </c>
      <c r="I407" t="s">
        <v>1099</v>
      </c>
      <c r="J407" t="s">
        <v>420</v>
      </c>
      <c r="K407" t="s">
        <v>6</v>
      </c>
      <c r="L407" t="s">
        <v>409</v>
      </c>
      <c r="M407" t="s">
        <v>141</v>
      </c>
      <c r="N407" t="s">
        <v>2</v>
      </c>
      <c r="O407" t="s">
        <v>149</v>
      </c>
      <c r="P407" t="s">
        <v>14</v>
      </c>
      <c r="Q407" t="s">
        <v>187</v>
      </c>
      <c r="R407">
        <v>13.799488</v>
      </c>
      <c r="S407">
        <v>10.382716</v>
      </c>
    </row>
    <row r="408" spans="1:19">
      <c r="A408" t="s">
        <v>2</v>
      </c>
      <c r="B408" t="s">
        <v>149</v>
      </c>
      <c r="C408" t="s">
        <v>36</v>
      </c>
      <c r="D408" t="s">
        <v>183</v>
      </c>
      <c r="E408" t="s">
        <v>563</v>
      </c>
      <c r="F408" t="s">
        <v>110</v>
      </c>
      <c r="G408" t="s">
        <v>1107</v>
      </c>
      <c r="I408" t="s">
        <v>1099</v>
      </c>
      <c r="J408" t="s">
        <v>420</v>
      </c>
      <c r="K408" t="s">
        <v>6</v>
      </c>
      <c r="L408" t="s">
        <v>409</v>
      </c>
      <c r="M408" t="s">
        <v>141</v>
      </c>
      <c r="N408" t="s">
        <v>2</v>
      </c>
      <c r="O408" t="s">
        <v>149</v>
      </c>
      <c r="P408" t="s">
        <v>99</v>
      </c>
      <c r="Q408" t="s">
        <v>181</v>
      </c>
      <c r="R408">
        <v>13.871155</v>
      </c>
      <c r="S408">
        <v>10.291433</v>
      </c>
    </row>
    <row r="409" spans="1:19">
      <c r="A409" t="s">
        <v>2</v>
      </c>
      <c r="B409" t="s">
        <v>149</v>
      </c>
      <c r="C409" t="s">
        <v>36</v>
      </c>
      <c r="D409" t="s">
        <v>183</v>
      </c>
      <c r="E409" t="s">
        <v>384</v>
      </c>
      <c r="F409" t="s">
        <v>111</v>
      </c>
      <c r="G409" t="s">
        <v>1107</v>
      </c>
      <c r="I409" t="s">
        <v>1099</v>
      </c>
      <c r="J409" t="s">
        <v>420</v>
      </c>
      <c r="K409" t="s">
        <v>6</v>
      </c>
      <c r="L409" t="s">
        <v>409</v>
      </c>
      <c r="M409" t="s">
        <v>141</v>
      </c>
      <c r="N409" t="s">
        <v>2</v>
      </c>
      <c r="O409" t="s">
        <v>149</v>
      </c>
      <c r="P409" t="s">
        <v>3</v>
      </c>
      <c r="Q409" t="s">
        <v>184</v>
      </c>
      <c r="R409">
        <v>13.894835</v>
      </c>
      <c r="S409">
        <v>10.253299</v>
      </c>
    </row>
    <row r="410" spans="1:19">
      <c r="A410" t="s">
        <v>2</v>
      </c>
      <c r="B410" t="s">
        <v>149</v>
      </c>
      <c r="C410" t="s">
        <v>3</v>
      </c>
      <c r="D410" t="s">
        <v>184</v>
      </c>
      <c r="E410" t="s">
        <v>641</v>
      </c>
      <c r="G410" t="s">
        <v>1107</v>
      </c>
      <c r="I410" t="s">
        <v>1099</v>
      </c>
      <c r="J410" t="s">
        <v>420</v>
      </c>
      <c r="K410" t="s">
        <v>6</v>
      </c>
      <c r="L410" t="s">
        <v>409</v>
      </c>
      <c r="M410" t="s">
        <v>141</v>
      </c>
      <c r="N410" t="s">
        <v>27</v>
      </c>
      <c r="O410" t="s">
        <v>148</v>
      </c>
      <c r="P410" t="s">
        <v>33</v>
      </c>
      <c r="Q410" t="s">
        <v>178</v>
      </c>
    </row>
    <row r="411" spans="1:19">
      <c r="A411" t="s">
        <v>2</v>
      </c>
      <c r="B411" t="s">
        <v>149</v>
      </c>
      <c r="C411" t="s">
        <v>3</v>
      </c>
      <c r="D411" t="s">
        <v>184</v>
      </c>
      <c r="E411" t="s">
        <v>621</v>
      </c>
      <c r="G411" t="s">
        <v>1107</v>
      </c>
      <c r="I411" t="s">
        <v>1099</v>
      </c>
      <c r="J411" t="s">
        <v>420</v>
      </c>
      <c r="K411" t="s">
        <v>6</v>
      </c>
      <c r="L411" t="s">
        <v>409</v>
      </c>
      <c r="M411" t="s">
        <v>141</v>
      </c>
      <c r="N411" t="s">
        <v>2</v>
      </c>
      <c r="O411" t="s">
        <v>149</v>
      </c>
      <c r="P411" t="s">
        <v>16</v>
      </c>
      <c r="Q411" t="s">
        <v>185</v>
      </c>
    </row>
    <row r="412" spans="1:19">
      <c r="A412" t="s">
        <v>2</v>
      </c>
      <c r="B412" t="s">
        <v>149</v>
      </c>
      <c r="C412" t="s">
        <v>3</v>
      </c>
      <c r="D412" t="s">
        <v>184</v>
      </c>
      <c r="E412" t="s">
        <v>620</v>
      </c>
      <c r="G412" t="s">
        <v>1107</v>
      </c>
      <c r="I412" t="s">
        <v>1099</v>
      </c>
      <c r="J412" t="s">
        <v>420</v>
      </c>
      <c r="K412" t="s">
        <v>6</v>
      </c>
      <c r="L412" t="s">
        <v>409</v>
      </c>
      <c r="M412" t="s">
        <v>141</v>
      </c>
      <c r="N412" t="s">
        <v>2</v>
      </c>
      <c r="O412" t="s">
        <v>149</v>
      </c>
      <c r="P412" t="s">
        <v>16</v>
      </c>
      <c r="Q412" t="s">
        <v>185</v>
      </c>
    </row>
    <row r="413" spans="1:19">
      <c r="A413" t="s">
        <v>2</v>
      </c>
      <c r="B413" t="s">
        <v>149</v>
      </c>
      <c r="C413" t="s">
        <v>3</v>
      </c>
      <c r="D413" t="s">
        <v>184</v>
      </c>
      <c r="E413" t="s">
        <v>608</v>
      </c>
      <c r="G413" t="s">
        <v>1107</v>
      </c>
      <c r="I413" t="s">
        <v>1099</v>
      </c>
      <c r="J413" t="s">
        <v>420</v>
      </c>
      <c r="K413" t="s">
        <v>6</v>
      </c>
      <c r="L413" t="s">
        <v>409</v>
      </c>
      <c r="M413" t="s">
        <v>141</v>
      </c>
      <c r="N413" t="s">
        <v>2</v>
      </c>
      <c r="O413" t="s">
        <v>149</v>
      </c>
      <c r="P413" t="s">
        <v>16</v>
      </c>
      <c r="Q413" t="s">
        <v>185</v>
      </c>
    </row>
    <row r="414" spans="1:19">
      <c r="A414" t="s">
        <v>2</v>
      </c>
      <c r="B414" t="s">
        <v>149</v>
      </c>
      <c r="C414" t="s">
        <v>3</v>
      </c>
      <c r="D414" t="s">
        <v>184</v>
      </c>
      <c r="E414" t="s">
        <v>629</v>
      </c>
      <c r="G414" t="s">
        <v>1107</v>
      </c>
      <c r="I414" t="s">
        <v>1099</v>
      </c>
      <c r="J414" t="s">
        <v>420</v>
      </c>
      <c r="K414" t="s">
        <v>6</v>
      </c>
      <c r="L414" t="s">
        <v>409</v>
      </c>
      <c r="M414" t="s">
        <v>141</v>
      </c>
      <c r="N414" t="s">
        <v>27</v>
      </c>
      <c r="O414" t="s">
        <v>148</v>
      </c>
      <c r="P414" t="s">
        <v>33</v>
      </c>
      <c r="Q414" t="s">
        <v>178</v>
      </c>
    </row>
    <row r="415" spans="1:19">
      <c r="A415" t="s">
        <v>2</v>
      </c>
      <c r="B415" t="s">
        <v>149</v>
      </c>
      <c r="C415" t="s">
        <v>3</v>
      </c>
      <c r="D415" t="s">
        <v>184</v>
      </c>
      <c r="E415" t="s">
        <v>624</v>
      </c>
      <c r="G415" t="s">
        <v>1107</v>
      </c>
      <c r="I415" t="s">
        <v>1099</v>
      </c>
      <c r="J415" t="s">
        <v>420</v>
      </c>
      <c r="K415" t="s">
        <v>6</v>
      </c>
      <c r="L415" t="s">
        <v>409</v>
      </c>
      <c r="M415" t="s">
        <v>141</v>
      </c>
      <c r="N415" t="s">
        <v>27</v>
      </c>
      <c r="O415" t="s">
        <v>148</v>
      </c>
      <c r="P415" t="s">
        <v>33</v>
      </c>
      <c r="Q415" t="s">
        <v>178</v>
      </c>
    </row>
    <row r="416" spans="1:19">
      <c r="A416" t="s">
        <v>2</v>
      </c>
      <c r="B416" t="s">
        <v>149</v>
      </c>
      <c r="C416" t="s">
        <v>3</v>
      </c>
      <c r="D416" t="s">
        <v>184</v>
      </c>
      <c r="E416" t="s">
        <v>630</v>
      </c>
      <c r="G416" t="s">
        <v>1107</v>
      </c>
      <c r="I416" t="s">
        <v>1099</v>
      </c>
      <c r="J416" t="s">
        <v>420</v>
      </c>
      <c r="K416" t="s">
        <v>6</v>
      </c>
      <c r="L416" t="s">
        <v>409</v>
      </c>
      <c r="M416" t="s">
        <v>141</v>
      </c>
      <c r="N416" t="s">
        <v>2</v>
      </c>
      <c r="O416" t="s">
        <v>149</v>
      </c>
      <c r="P416" t="s">
        <v>16</v>
      </c>
      <c r="Q416" t="s">
        <v>185</v>
      </c>
    </row>
    <row r="417" spans="1:19">
      <c r="A417" t="s">
        <v>2</v>
      </c>
      <c r="B417" t="s">
        <v>149</v>
      </c>
      <c r="C417" t="s">
        <v>3</v>
      </c>
      <c r="D417" t="s">
        <v>184</v>
      </c>
      <c r="E417" t="s">
        <v>623</v>
      </c>
      <c r="G417" t="s">
        <v>1107</v>
      </c>
      <c r="I417" t="s">
        <v>1099</v>
      </c>
      <c r="J417" t="s">
        <v>420</v>
      </c>
      <c r="K417" t="s">
        <v>6</v>
      </c>
      <c r="L417" t="s">
        <v>409</v>
      </c>
      <c r="M417" t="s">
        <v>141</v>
      </c>
      <c r="N417" t="s">
        <v>27</v>
      </c>
      <c r="O417" t="s">
        <v>148</v>
      </c>
      <c r="P417" t="s">
        <v>33</v>
      </c>
      <c r="Q417" t="s">
        <v>178</v>
      </c>
    </row>
    <row r="418" spans="1:19">
      <c r="A418" t="s">
        <v>2</v>
      </c>
      <c r="B418" t="s">
        <v>149</v>
      </c>
      <c r="C418" t="s">
        <v>3</v>
      </c>
      <c r="D418" t="s">
        <v>184</v>
      </c>
      <c r="E418" t="s">
        <v>634</v>
      </c>
      <c r="G418" t="s">
        <v>1107</v>
      </c>
      <c r="I418" t="s">
        <v>1099</v>
      </c>
      <c r="J418" t="s">
        <v>420</v>
      </c>
      <c r="K418" t="s">
        <v>6</v>
      </c>
      <c r="L418" t="s">
        <v>409</v>
      </c>
      <c r="M418" t="s">
        <v>141</v>
      </c>
      <c r="N418" t="s">
        <v>27</v>
      </c>
      <c r="O418" t="s">
        <v>148</v>
      </c>
      <c r="P418" t="s">
        <v>33</v>
      </c>
      <c r="Q418" t="s">
        <v>178</v>
      </c>
    </row>
    <row r="419" spans="1:19">
      <c r="A419" t="s">
        <v>2</v>
      </c>
      <c r="B419" t="s">
        <v>149</v>
      </c>
      <c r="C419" t="s">
        <v>3</v>
      </c>
      <c r="D419" t="s">
        <v>184</v>
      </c>
      <c r="E419" t="s">
        <v>615</v>
      </c>
      <c r="G419" t="s">
        <v>1107</v>
      </c>
      <c r="I419" t="s">
        <v>1099</v>
      </c>
      <c r="J419" t="s">
        <v>420</v>
      </c>
      <c r="K419" t="s">
        <v>6</v>
      </c>
      <c r="L419" t="s">
        <v>409</v>
      </c>
      <c r="M419" t="s">
        <v>141</v>
      </c>
      <c r="N419" t="s">
        <v>2</v>
      </c>
      <c r="O419" t="s">
        <v>149</v>
      </c>
      <c r="P419" t="s">
        <v>16</v>
      </c>
      <c r="Q419" t="s">
        <v>185</v>
      </c>
    </row>
    <row r="420" spans="1:19">
      <c r="A420" t="s">
        <v>2</v>
      </c>
      <c r="B420" t="s">
        <v>149</v>
      </c>
      <c r="C420" t="s">
        <v>3</v>
      </c>
      <c r="D420" t="s">
        <v>184</v>
      </c>
      <c r="E420" t="s">
        <v>622</v>
      </c>
      <c r="G420" t="s">
        <v>1107</v>
      </c>
      <c r="I420" t="s">
        <v>1099</v>
      </c>
      <c r="J420" t="s">
        <v>420</v>
      </c>
      <c r="K420" t="s">
        <v>6</v>
      </c>
      <c r="L420" t="s">
        <v>409</v>
      </c>
      <c r="M420" t="s">
        <v>141</v>
      </c>
      <c r="N420" t="s">
        <v>27</v>
      </c>
      <c r="O420" t="s">
        <v>148</v>
      </c>
      <c r="P420" t="s">
        <v>33</v>
      </c>
      <c r="Q420" t="s">
        <v>178</v>
      </c>
    </row>
    <row r="421" spans="1:19">
      <c r="A421" t="s">
        <v>2</v>
      </c>
      <c r="B421" t="s">
        <v>149</v>
      </c>
      <c r="C421" t="s">
        <v>3</v>
      </c>
      <c r="D421" t="s">
        <v>184</v>
      </c>
      <c r="E421" t="s">
        <v>640</v>
      </c>
      <c r="G421" t="s">
        <v>1107</v>
      </c>
      <c r="I421" t="s">
        <v>1099</v>
      </c>
      <c r="J421" t="s">
        <v>420</v>
      </c>
      <c r="K421" t="s">
        <v>6</v>
      </c>
      <c r="L421" t="s">
        <v>409</v>
      </c>
      <c r="M421" t="s">
        <v>141</v>
      </c>
      <c r="N421" t="s">
        <v>27</v>
      </c>
      <c r="O421" t="s">
        <v>148</v>
      </c>
      <c r="P421" t="s">
        <v>33</v>
      </c>
      <c r="Q421" t="s">
        <v>178</v>
      </c>
    </row>
    <row r="422" spans="1:19">
      <c r="A422" t="s">
        <v>2</v>
      </c>
      <c r="B422" t="s">
        <v>149</v>
      </c>
      <c r="C422" t="s">
        <v>3</v>
      </c>
      <c r="D422" t="s">
        <v>184</v>
      </c>
      <c r="E422" t="s">
        <v>639</v>
      </c>
      <c r="G422" t="s">
        <v>1107</v>
      </c>
      <c r="I422" t="s">
        <v>1099</v>
      </c>
      <c r="J422" t="s">
        <v>420</v>
      </c>
      <c r="K422" t="s">
        <v>6</v>
      </c>
      <c r="L422" t="s">
        <v>409</v>
      </c>
      <c r="M422" t="s">
        <v>141</v>
      </c>
      <c r="N422" t="s">
        <v>27</v>
      </c>
      <c r="O422" t="s">
        <v>148</v>
      </c>
      <c r="P422" t="s">
        <v>33</v>
      </c>
      <c r="Q422" t="s">
        <v>178</v>
      </c>
    </row>
    <row r="423" spans="1:19">
      <c r="A423" t="s">
        <v>2</v>
      </c>
      <c r="B423" t="s">
        <v>149</v>
      </c>
      <c r="C423" t="s">
        <v>3</v>
      </c>
      <c r="D423" t="s">
        <v>184</v>
      </c>
      <c r="E423" t="s">
        <v>607</v>
      </c>
      <c r="G423" t="s">
        <v>1107</v>
      </c>
      <c r="I423" t="s">
        <v>1099</v>
      </c>
      <c r="J423" t="s">
        <v>420</v>
      </c>
      <c r="K423" t="s">
        <v>6</v>
      </c>
      <c r="L423" t="s">
        <v>409</v>
      </c>
      <c r="M423" t="s">
        <v>141</v>
      </c>
      <c r="N423" t="s">
        <v>2</v>
      </c>
      <c r="O423" t="s">
        <v>149</v>
      </c>
      <c r="P423" t="s">
        <v>16</v>
      </c>
      <c r="Q423" t="s">
        <v>185</v>
      </c>
    </row>
    <row r="424" spans="1:19">
      <c r="A424" t="s">
        <v>2</v>
      </c>
      <c r="B424" t="s">
        <v>149</v>
      </c>
      <c r="C424" t="s">
        <v>3</v>
      </c>
      <c r="D424" t="s">
        <v>184</v>
      </c>
      <c r="E424" t="s">
        <v>611</v>
      </c>
      <c r="F424" t="s">
        <v>612</v>
      </c>
      <c r="G424" t="s">
        <v>1107</v>
      </c>
      <c r="I424" t="s">
        <v>1099</v>
      </c>
      <c r="J424" t="s">
        <v>420</v>
      </c>
      <c r="K424" t="s">
        <v>6</v>
      </c>
      <c r="L424" t="s">
        <v>409</v>
      </c>
      <c r="M424" t="s">
        <v>141</v>
      </c>
      <c r="N424" t="s">
        <v>27</v>
      </c>
      <c r="O424" t="s">
        <v>148</v>
      </c>
      <c r="P424" t="s">
        <v>33</v>
      </c>
      <c r="Q424" t="s">
        <v>178</v>
      </c>
      <c r="R424">
        <v>13.765447999999999</v>
      </c>
      <c r="S424">
        <v>10.356268</v>
      </c>
    </row>
    <row r="425" spans="1:19">
      <c r="A425" t="s">
        <v>2</v>
      </c>
      <c r="B425" t="s">
        <v>149</v>
      </c>
      <c r="C425" t="s">
        <v>3</v>
      </c>
      <c r="D425" t="s">
        <v>184</v>
      </c>
      <c r="E425" t="s">
        <v>635</v>
      </c>
      <c r="F425" t="s">
        <v>636</v>
      </c>
      <c r="G425" t="s">
        <v>1107</v>
      </c>
      <c r="I425" t="s">
        <v>1099</v>
      </c>
      <c r="J425" t="s">
        <v>420</v>
      </c>
      <c r="K425" t="s">
        <v>6</v>
      </c>
      <c r="L425" t="s">
        <v>409</v>
      </c>
      <c r="M425" t="s">
        <v>141</v>
      </c>
      <c r="N425" t="s">
        <v>27</v>
      </c>
      <c r="O425" t="s">
        <v>148</v>
      </c>
      <c r="P425" t="s">
        <v>33</v>
      </c>
      <c r="Q425" t="s">
        <v>178</v>
      </c>
      <c r="R425">
        <v>13.841523</v>
      </c>
      <c r="S425">
        <v>10.872423</v>
      </c>
    </row>
    <row r="426" spans="1:19">
      <c r="A426" t="s">
        <v>2</v>
      </c>
      <c r="B426" t="s">
        <v>149</v>
      </c>
      <c r="C426" t="s">
        <v>3</v>
      </c>
      <c r="D426" t="s">
        <v>184</v>
      </c>
      <c r="E426" t="s">
        <v>637</v>
      </c>
      <c r="F426" t="s">
        <v>638</v>
      </c>
      <c r="G426" t="s">
        <v>1107</v>
      </c>
      <c r="I426" t="s">
        <v>1099</v>
      </c>
      <c r="J426" t="s">
        <v>420</v>
      </c>
      <c r="K426" t="s">
        <v>6</v>
      </c>
      <c r="L426" t="s">
        <v>409</v>
      </c>
      <c r="M426" t="s">
        <v>141</v>
      </c>
      <c r="N426" t="s">
        <v>27</v>
      </c>
      <c r="O426" t="s">
        <v>148</v>
      </c>
      <c r="P426" t="s">
        <v>33</v>
      </c>
      <c r="Q426" t="s">
        <v>178</v>
      </c>
      <c r="R426">
        <v>13.977326</v>
      </c>
      <c r="S426">
        <v>10.917334</v>
      </c>
    </row>
    <row r="427" spans="1:19">
      <c r="A427" t="s">
        <v>2</v>
      </c>
      <c r="B427" t="s">
        <v>149</v>
      </c>
      <c r="C427" t="s">
        <v>3</v>
      </c>
      <c r="D427" t="s">
        <v>184</v>
      </c>
      <c r="E427" t="s">
        <v>350</v>
      </c>
      <c r="F427" t="s">
        <v>112</v>
      </c>
      <c r="G427" t="s">
        <v>1107</v>
      </c>
      <c r="I427" t="s">
        <v>1099</v>
      </c>
      <c r="J427" t="s">
        <v>420</v>
      </c>
      <c r="K427" t="s">
        <v>6</v>
      </c>
      <c r="L427" t="s">
        <v>409</v>
      </c>
      <c r="M427" t="s">
        <v>141</v>
      </c>
      <c r="N427" t="s">
        <v>27</v>
      </c>
      <c r="O427" t="s">
        <v>148</v>
      </c>
      <c r="P427" t="s">
        <v>33</v>
      </c>
      <c r="Q427" t="s">
        <v>178</v>
      </c>
      <c r="R427">
        <v>13.897717</v>
      </c>
      <c r="S427">
        <v>10.929929</v>
      </c>
    </row>
    <row r="428" spans="1:19">
      <c r="A428" t="s">
        <v>2</v>
      </c>
      <c r="B428" t="s">
        <v>149</v>
      </c>
      <c r="C428" t="s">
        <v>3</v>
      </c>
      <c r="D428" t="s">
        <v>184</v>
      </c>
      <c r="E428" t="s">
        <v>350</v>
      </c>
      <c r="F428" t="s">
        <v>112</v>
      </c>
      <c r="G428" t="s">
        <v>1107</v>
      </c>
      <c r="I428" t="s">
        <v>1099</v>
      </c>
      <c r="J428" t="s">
        <v>420</v>
      </c>
      <c r="K428" t="s">
        <v>6</v>
      </c>
      <c r="L428" t="s">
        <v>409</v>
      </c>
      <c r="M428" t="s">
        <v>141</v>
      </c>
      <c r="N428" t="s">
        <v>27</v>
      </c>
      <c r="O428" t="s">
        <v>148</v>
      </c>
      <c r="P428" t="s">
        <v>33</v>
      </c>
      <c r="Q428" t="s">
        <v>178</v>
      </c>
      <c r="R428">
        <v>13.897717</v>
      </c>
      <c r="S428">
        <v>10.929929</v>
      </c>
    </row>
    <row r="429" spans="1:19">
      <c r="A429" t="s">
        <v>2</v>
      </c>
      <c r="B429" t="s">
        <v>149</v>
      </c>
      <c r="C429" t="s">
        <v>3</v>
      </c>
      <c r="D429" t="s">
        <v>184</v>
      </c>
      <c r="E429" t="s">
        <v>356</v>
      </c>
      <c r="F429" t="s">
        <v>633</v>
      </c>
      <c r="G429" t="s">
        <v>1107</v>
      </c>
      <c r="I429" t="s">
        <v>1099</v>
      </c>
      <c r="J429" t="s">
        <v>420</v>
      </c>
      <c r="K429" t="s">
        <v>6</v>
      </c>
      <c r="L429" t="s">
        <v>409</v>
      </c>
      <c r="M429" t="s">
        <v>141</v>
      </c>
      <c r="N429" t="s">
        <v>27</v>
      </c>
      <c r="O429" t="s">
        <v>148</v>
      </c>
      <c r="P429" t="s">
        <v>33</v>
      </c>
      <c r="Q429" t="s">
        <v>178</v>
      </c>
      <c r="R429">
        <v>13.817113000000001</v>
      </c>
      <c r="S429">
        <v>10.846468</v>
      </c>
    </row>
    <row r="430" spans="1:19">
      <c r="A430" t="s">
        <v>2</v>
      </c>
      <c r="B430" t="s">
        <v>149</v>
      </c>
      <c r="C430" t="s">
        <v>3</v>
      </c>
      <c r="D430" t="s">
        <v>184</v>
      </c>
      <c r="E430" t="s">
        <v>627</v>
      </c>
      <c r="F430" t="s">
        <v>628</v>
      </c>
      <c r="G430" t="s">
        <v>1107</v>
      </c>
      <c r="I430" t="s">
        <v>1099</v>
      </c>
      <c r="J430" t="s">
        <v>420</v>
      </c>
      <c r="K430" t="s">
        <v>6</v>
      </c>
      <c r="L430" t="s">
        <v>409</v>
      </c>
      <c r="M430" t="s">
        <v>141</v>
      </c>
      <c r="N430" t="s">
        <v>27</v>
      </c>
      <c r="O430" t="s">
        <v>148</v>
      </c>
      <c r="P430" t="s">
        <v>33</v>
      </c>
      <c r="Q430" t="s">
        <v>178</v>
      </c>
      <c r="R430">
        <v>14.5</v>
      </c>
      <c r="S430">
        <v>10.066667000000001</v>
      </c>
    </row>
    <row r="431" spans="1:19">
      <c r="A431" t="s">
        <v>2</v>
      </c>
      <c r="B431" t="s">
        <v>149</v>
      </c>
      <c r="C431" t="s">
        <v>3</v>
      </c>
      <c r="D431" t="s">
        <v>184</v>
      </c>
      <c r="E431" t="s">
        <v>362</v>
      </c>
      <c r="F431" t="s">
        <v>113</v>
      </c>
      <c r="G431" t="s">
        <v>1107</v>
      </c>
      <c r="I431" t="s">
        <v>1099</v>
      </c>
      <c r="J431" t="s">
        <v>420</v>
      </c>
      <c r="K431" t="s">
        <v>6</v>
      </c>
      <c r="L431" t="s">
        <v>409</v>
      </c>
      <c r="M431" t="s">
        <v>141</v>
      </c>
      <c r="N431" t="s">
        <v>2</v>
      </c>
      <c r="O431" t="s">
        <v>149</v>
      </c>
      <c r="P431" t="s">
        <v>16</v>
      </c>
      <c r="Q431" t="s">
        <v>185</v>
      </c>
      <c r="R431">
        <v>13.9068</v>
      </c>
      <c r="S431">
        <v>10.835262</v>
      </c>
    </row>
    <row r="432" spans="1:19">
      <c r="A432" t="s">
        <v>2</v>
      </c>
      <c r="B432" t="s">
        <v>149</v>
      </c>
      <c r="C432" t="s">
        <v>3</v>
      </c>
      <c r="D432" t="s">
        <v>184</v>
      </c>
      <c r="E432" t="s">
        <v>363</v>
      </c>
      <c r="F432" t="s">
        <v>114</v>
      </c>
      <c r="G432" t="s">
        <v>1107</v>
      </c>
      <c r="I432" t="s">
        <v>1099</v>
      </c>
      <c r="J432" t="s">
        <v>420</v>
      </c>
      <c r="K432" t="s">
        <v>6</v>
      </c>
      <c r="L432" t="s">
        <v>409</v>
      </c>
      <c r="M432" t="s">
        <v>141</v>
      </c>
      <c r="N432" t="s">
        <v>27</v>
      </c>
      <c r="O432" t="s">
        <v>148</v>
      </c>
      <c r="P432" t="s">
        <v>33</v>
      </c>
      <c r="Q432" t="s">
        <v>178</v>
      </c>
      <c r="R432">
        <v>13.878552000000001</v>
      </c>
      <c r="S432">
        <v>10.870787999999999</v>
      </c>
    </row>
    <row r="433" spans="1:19">
      <c r="A433" t="s">
        <v>2</v>
      </c>
      <c r="B433" t="s">
        <v>149</v>
      </c>
      <c r="C433" t="s">
        <v>3</v>
      </c>
      <c r="D433" t="s">
        <v>184</v>
      </c>
      <c r="E433" t="s">
        <v>618</v>
      </c>
      <c r="F433" t="s">
        <v>619</v>
      </c>
      <c r="G433" t="s">
        <v>1107</v>
      </c>
      <c r="I433" t="s">
        <v>1099</v>
      </c>
      <c r="J433" t="s">
        <v>420</v>
      </c>
      <c r="K433" t="s">
        <v>6</v>
      </c>
      <c r="L433" t="s">
        <v>409</v>
      </c>
      <c r="M433" t="s">
        <v>141</v>
      </c>
      <c r="N433" t="s">
        <v>2</v>
      </c>
      <c r="O433" t="s">
        <v>149</v>
      </c>
      <c r="P433" t="s">
        <v>16</v>
      </c>
      <c r="Q433" t="s">
        <v>185</v>
      </c>
      <c r="R433">
        <v>13.554971999999999</v>
      </c>
      <c r="S433">
        <v>10.333888999999999</v>
      </c>
    </row>
    <row r="434" spans="1:19">
      <c r="A434" t="s">
        <v>2</v>
      </c>
      <c r="B434" t="s">
        <v>149</v>
      </c>
      <c r="C434" t="s">
        <v>3</v>
      </c>
      <c r="D434" t="s">
        <v>184</v>
      </c>
      <c r="E434" t="s">
        <v>613</v>
      </c>
      <c r="F434" t="s">
        <v>614</v>
      </c>
      <c r="G434" t="s">
        <v>1107</v>
      </c>
      <c r="I434" t="s">
        <v>1099</v>
      </c>
      <c r="J434" t="s">
        <v>420</v>
      </c>
      <c r="K434" t="s">
        <v>6</v>
      </c>
      <c r="L434" t="s">
        <v>409</v>
      </c>
      <c r="M434" t="s">
        <v>141</v>
      </c>
      <c r="N434" t="s">
        <v>27</v>
      </c>
      <c r="O434" t="s">
        <v>148</v>
      </c>
      <c r="P434" t="s">
        <v>33</v>
      </c>
      <c r="Q434" t="s">
        <v>178</v>
      </c>
      <c r="R434">
        <v>13.828533999999999</v>
      </c>
      <c r="S434">
        <v>10.816834</v>
      </c>
    </row>
    <row r="435" spans="1:19">
      <c r="A435" t="s">
        <v>2</v>
      </c>
      <c r="B435" t="s">
        <v>149</v>
      </c>
      <c r="C435" t="s">
        <v>3</v>
      </c>
      <c r="D435" t="s">
        <v>184</v>
      </c>
      <c r="E435" t="s">
        <v>368</v>
      </c>
      <c r="F435" t="s">
        <v>115</v>
      </c>
      <c r="G435" t="s">
        <v>1107</v>
      </c>
      <c r="I435" t="s">
        <v>1099</v>
      </c>
      <c r="J435" t="s">
        <v>420</v>
      </c>
      <c r="K435" t="s">
        <v>6</v>
      </c>
      <c r="L435" t="s">
        <v>409</v>
      </c>
      <c r="M435" t="s">
        <v>141</v>
      </c>
      <c r="N435" t="s">
        <v>27</v>
      </c>
      <c r="O435" t="s">
        <v>148</v>
      </c>
      <c r="P435" t="s">
        <v>33</v>
      </c>
      <c r="Q435" t="s">
        <v>178</v>
      </c>
      <c r="R435">
        <v>13.919672</v>
      </c>
      <c r="S435">
        <v>10.907064</v>
      </c>
    </row>
    <row r="436" spans="1:19">
      <c r="A436" t="s">
        <v>2</v>
      </c>
      <c r="B436" t="s">
        <v>149</v>
      </c>
      <c r="C436" t="s">
        <v>3</v>
      </c>
      <c r="D436" t="s">
        <v>184</v>
      </c>
      <c r="E436" t="s">
        <v>580</v>
      </c>
      <c r="F436" t="s">
        <v>581</v>
      </c>
      <c r="G436" t="s">
        <v>1107</v>
      </c>
      <c r="I436" t="s">
        <v>1099</v>
      </c>
      <c r="J436" t="s">
        <v>420</v>
      </c>
      <c r="K436" t="s">
        <v>6</v>
      </c>
      <c r="L436" t="s">
        <v>409</v>
      </c>
      <c r="M436" t="s">
        <v>141</v>
      </c>
      <c r="N436" t="s">
        <v>27</v>
      </c>
      <c r="O436" t="s">
        <v>148</v>
      </c>
      <c r="P436" t="s">
        <v>33</v>
      </c>
      <c r="Q436" t="s">
        <v>178</v>
      </c>
      <c r="R436">
        <v>13.921112000000001</v>
      </c>
      <c r="S436">
        <v>10.934810000000001</v>
      </c>
    </row>
    <row r="437" spans="1:19">
      <c r="A437" t="s">
        <v>2</v>
      </c>
      <c r="B437" t="s">
        <v>149</v>
      </c>
      <c r="C437" t="s">
        <v>3</v>
      </c>
      <c r="D437" t="s">
        <v>184</v>
      </c>
      <c r="E437" t="s">
        <v>616</v>
      </c>
      <c r="F437" t="s">
        <v>617</v>
      </c>
      <c r="G437" t="s">
        <v>1107</v>
      </c>
      <c r="I437" t="s">
        <v>1099</v>
      </c>
      <c r="J437" t="s">
        <v>420</v>
      </c>
      <c r="K437" t="s">
        <v>6</v>
      </c>
      <c r="L437" t="s">
        <v>409</v>
      </c>
      <c r="M437" t="s">
        <v>141</v>
      </c>
      <c r="N437" t="s">
        <v>2</v>
      </c>
      <c r="O437" t="s">
        <v>149</v>
      </c>
      <c r="P437" t="s">
        <v>16</v>
      </c>
      <c r="Q437" t="s">
        <v>185</v>
      </c>
      <c r="R437">
        <v>13.841523</v>
      </c>
      <c r="S437">
        <v>10.872423</v>
      </c>
    </row>
    <row r="438" spans="1:19">
      <c r="A438" t="s">
        <v>2</v>
      </c>
      <c r="B438" t="s">
        <v>149</v>
      </c>
      <c r="C438" t="s">
        <v>3</v>
      </c>
      <c r="D438" t="s">
        <v>184</v>
      </c>
      <c r="E438" t="s">
        <v>377</v>
      </c>
      <c r="F438" t="s">
        <v>116</v>
      </c>
      <c r="G438" t="s">
        <v>1107</v>
      </c>
      <c r="I438" t="s">
        <v>1099</v>
      </c>
      <c r="J438" t="s">
        <v>420</v>
      </c>
      <c r="K438" t="s">
        <v>6</v>
      </c>
      <c r="L438" t="s">
        <v>409</v>
      </c>
      <c r="M438" t="s">
        <v>141</v>
      </c>
      <c r="N438" t="s">
        <v>27</v>
      </c>
      <c r="O438" t="s">
        <v>148</v>
      </c>
      <c r="P438" t="s">
        <v>33</v>
      </c>
      <c r="Q438" t="s">
        <v>178</v>
      </c>
      <c r="R438">
        <v>13.843622999999999</v>
      </c>
      <c r="S438">
        <v>10.857278000000001</v>
      </c>
    </row>
    <row r="439" spans="1:19">
      <c r="A439" t="s">
        <v>2</v>
      </c>
      <c r="B439" t="s">
        <v>149</v>
      </c>
      <c r="C439" t="s">
        <v>3</v>
      </c>
      <c r="D439" t="s">
        <v>184</v>
      </c>
      <c r="E439" t="s">
        <v>631</v>
      </c>
      <c r="F439" t="s">
        <v>632</v>
      </c>
      <c r="G439" t="s">
        <v>1107</v>
      </c>
      <c r="I439" t="s">
        <v>1099</v>
      </c>
      <c r="J439" t="s">
        <v>420</v>
      </c>
      <c r="K439" t="s">
        <v>6</v>
      </c>
      <c r="L439" t="s">
        <v>409</v>
      </c>
      <c r="M439" t="s">
        <v>141</v>
      </c>
      <c r="N439" t="s">
        <v>2</v>
      </c>
      <c r="O439" t="s">
        <v>149</v>
      </c>
      <c r="P439" t="s">
        <v>16</v>
      </c>
      <c r="Q439" t="s">
        <v>185</v>
      </c>
      <c r="R439">
        <v>13.841523</v>
      </c>
      <c r="S439">
        <v>10.872423</v>
      </c>
    </row>
    <row r="440" spans="1:19">
      <c r="A440" t="s">
        <v>2</v>
      </c>
      <c r="B440" t="s">
        <v>149</v>
      </c>
      <c r="C440" t="s">
        <v>3</v>
      </c>
      <c r="D440" t="s">
        <v>184</v>
      </c>
      <c r="E440" t="s">
        <v>609</v>
      </c>
      <c r="F440" t="s">
        <v>610</v>
      </c>
      <c r="G440" t="s">
        <v>1107</v>
      </c>
      <c r="I440" t="s">
        <v>1099</v>
      </c>
      <c r="J440" t="s">
        <v>420</v>
      </c>
      <c r="K440" t="s">
        <v>6</v>
      </c>
      <c r="L440" t="s">
        <v>409</v>
      </c>
      <c r="M440" t="s">
        <v>141</v>
      </c>
      <c r="N440" t="s">
        <v>27</v>
      </c>
      <c r="O440" t="s">
        <v>148</v>
      </c>
      <c r="P440" t="s">
        <v>33</v>
      </c>
      <c r="Q440" t="s">
        <v>178</v>
      </c>
      <c r="R440">
        <v>13.952519000000001</v>
      </c>
      <c r="S440">
        <v>10.736959000000001</v>
      </c>
    </row>
    <row r="441" spans="1:19">
      <c r="A441" t="s">
        <v>2</v>
      </c>
      <c r="B441" t="s">
        <v>149</v>
      </c>
      <c r="C441" t="s">
        <v>3</v>
      </c>
      <c r="D441" t="s">
        <v>184</v>
      </c>
      <c r="E441" t="s">
        <v>625</v>
      </c>
      <c r="F441" t="s">
        <v>626</v>
      </c>
      <c r="G441" t="s">
        <v>1107</v>
      </c>
      <c r="I441" t="s">
        <v>1099</v>
      </c>
      <c r="J441" t="s">
        <v>420</v>
      </c>
      <c r="K441" t="s">
        <v>6</v>
      </c>
      <c r="L441" t="s">
        <v>409</v>
      </c>
      <c r="M441" t="s">
        <v>141</v>
      </c>
      <c r="N441" t="s">
        <v>27</v>
      </c>
      <c r="O441" t="s">
        <v>148</v>
      </c>
      <c r="P441" t="s">
        <v>33</v>
      </c>
      <c r="Q441" t="s">
        <v>178</v>
      </c>
      <c r="R441">
        <v>13.840225</v>
      </c>
      <c r="S441">
        <v>10.711847000000001</v>
      </c>
    </row>
    <row r="442" spans="1:19">
      <c r="A442" t="s">
        <v>2</v>
      </c>
      <c r="B442" t="s">
        <v>149</v>
      </c>
      <c r="C442" t="s">
        <v>99</v>
      </c>
      <c r="D442" t="s">
        <v>181</v>
      </c>
      <c r="E442" t="s">
        <v>346</v>
      </c>
      <c r="F442" t="s">
        <v>96</v>
      </c>
      <c r="G442" t="s">
        <v>1107</v>
      </c>
      <c r="I442" t="s">
        <v>1099</v>
      </c>
      <c r="J442" t="s">
        <v>420</v>
      </c>
      <c r="K442" t="s">
        <v>6</v>
      </c>
      <c r="L442" t="s">
        <v>409</v>
      </c>
      <c r="M442" t="s">
        <v>141</v>
      </c>
      <c r="N442" t="s">
        <v>2</v>
      </c>
      <c r="O442" t="s">
        <v>149</v>
      </c>
      <c r="P442" t="s">
        <v>99</v>
      </c>
      <c r="Q442" t="s">
        <v>181</v>
      </c>
      <c r="R442">
        <v>13.543184</v>
      </c>
      <c r="S442">
        <v>10.448195</v>
      </c>
    </row>
    <row r="443" spans="1:19">
      <c r="A443" t="s">
        <v>2</v>
      </c>
      <c r="B443" t="s">
        <v>149</v>
      </c>
      <c r="C443" t="s">
        <v>99</v>
      </c>
      <c r="D443" t="s">
        <v>181</v>
      </c>
      <c r="E443" t="s">
        <v>324</v>
      </c>
      <c r="G443" t="s">
        <v>1107</v>
      </c>
      <c r="I443" t="s">
        <v>1099</v>
      </c>
      <c r="J443" t="s">
        <v>420</v>
      </c>
      <c r="K443" t="s">
        <v>6</v>
      </c>
      <c r="L443" t="s">
        <v>409</v>
      </c>
      <c r="M443" t="s">
        <v>141</v>
      </c>
      <c r="N443" t="s">
        <v>2</v>
      </c>
      <c r="O443" t="s">
        <v>149</v>
      </c>
      <c r="P443" t="s">
        <v>99</v>
      </c>
      <c r="Q443" t="s">
        <v>181</v>
      </c>
    </row>
    <row r="444" spans="1:19">
      <c r="A444" t="s">
        <v>2</v>
      </c>
      <c r="B444" t="s">
        <v>149</v>
      </c>
      <c r="C444" t="s">
        <v>99</v>
      </c>
      <c r="D444" t="s">
        <v>181</v>
      </c>
      <c r="E444" t="s">
        <v>566</v>
      </c>
      <c r="G444" t="s">
        <v>1107</v>
      </c>
      <c r="I444" t="s">
        <v>1099</v>
      </c>
      <c r="J444" t="s">
        <v>420</v>
      </c>
      <c r="K444" t="s">
        <v>6</v>
      </c>
      <c r="L444" t="s">
        <v>409</v>
      </c>
      <c r="M444" t="s">
        <v>141</v>
      </c>
      <c r="N444" t="s">
        <v>2</v>
      </c>
      <c r="O444" t="s">
        <v>149</v>
      </c>
      <c r="P444" t="s">
        <v>99</v>
      </c>
      <c r="Q444" t="s">
        <v>181</v>
      </c>
    </row>
    <row r="445" spans="1:19">
      <c r="A445" t="s">
        <v>2</v>
      </c>
      <c r="B445" t="s">
        <v>149</v>
      </c>
      <c r="C445" t="s">
        <v>99</v>
      </c>
      <c r="D445" t="s">
        <v>181</v>
      </c>
      <c r="E445" t="s">
        <v>355</v>
      </c>
      <c r="F445" t="s">
        <v>97</v>
      </c>
      <c r="G445" t="s">
        <v>1107</v>
      </c>
      <c r="I445" t="s">
        <v>1099</v>
      </c>
      <c r="J445" t="s">
        <v>420</v>
      </c>
      <c r="K445" t="s">
        <v>6</v>
      </c>
      <c r="L445" t="s">
        <v>409</v>
      </c>
      <c r="M445" t="s">
        <v>141</v>
      </c>
      <c r="N445" t="s">
        <v>2</v>
      </c>
      <c r="O445" t="s">
        <v>149</v>
      </c>
      <c r="P445" t="s">
        <v>99</v>
      </c>
      <c r="Q445" t="s">
        <v>181</v>
      </c>
      <c r="R445">
        <v>13.582212999999999</v>
      </c>
      <c r="S445">
        <v>10.561923</v>
      </c>
    </row>
    <row r="446" spans="1:19">
      <c r="A446" t="s">
        <v>2</v>
      </c>
      <c r="B446" t="s">
        <v>149</v>
      </c>
      <c r="C446" t="s">
        <v>99</v>
      </c>
      <c r="D446" t="s">
        <v>181</v>
      </c>
      <c r="E446" t="s">
        <v>361</v>
      </c>
      <c r="F446" t="s">
        <v>360</v>
      </c>
      <c r="G446" t="s">
        <v>1107</v>
      </c>
      <c r="I446" t="s">
        <v>1099</v>
      </c>
      <c r="J446" t="s">
        <v>420</v>
      </c>
      <c r="K446" t="s">
        <v>6</v>
      </c>
      <c r="L446" t="s">
        <v>409</v>
      </c>
      <c r="M446" t="s">
        <v>141</v>
      </c>
      <c r="N446" t="s">
        <v>2</v>
      </c>
      <c r="O446" t="s">
        <v>149</v>
      </c>
      <c r="P446" t="s">
        <v>99</v>
      </c>
      <c r="Q446" t="s">
        <v>181</v>
      </c>
      <c r="R446">
        <v>13.639697</v>
      </c>
      <c r="S446">
        <v>10.462654000000001</v>
      </c>
    </row>
    <row r="447" spans="1:19">
      <c r="A447" t="s">
        <v>2</v>
      </c>
      <c r="B447" t="s">
        <v>149</v>
      </c>
      <c r="C447" t="s">
        <v>99</v>
      </c>
      <c r="D447" t="s">
        <v>181</v>
      </c>
      <c r="E447" t="s">
        <v>371</v>
      </c>
      <c r="F447" t="s">
        <v>98</v>
      </c>
      <c r="G447" t="s">
        <v>1107</v>
      </c>
      <c r="I447" t="s">
        <v>1099</v>
      </c>
      <c r="J447" t="s">
        <v>420</v>
      </c>
      <c r="K447" t="s">
        <v>6</v>
      </c>
      <c r="L447" t="s">
        <v>409</v>
      </c>
      <c r="M447" t="s">
        <v>141</v>
      </c>
      <c r="N447" t="s">
        <v>2</v>
      </c>
      <c r="O447" t="s">
        <v>149</v>
      </c>
      <c r="P447" t="s">
        <v>99</v>
      </c>
      <c r="Q447" t="s">
        <v>181</v>
      </c>
      <c r="R447">
        <v>13.56798</v>
      </c>
      <c r="S447">
        <v>10.603365</v>
      </c>
    </row>
    <row r="448" spans="1:19">
      <c r="A448" t="s">
        <v>2</v>
      </c>
      <c r="B448" t="s">
        <v>149</v>
      </c>
      <c r="C448" t="s">
        <v>99</v>
      </c>
      <c r="D448" t="s">
        <v>181</v>
      </c>
      <c r="E448" t="s">
        <v>564</v>
      </c>
      <c r="F448" t="s">
        <v>565</v>
      </c>
      <c r="G448" t="s">
        <v>1107</v>
      </c>
      <c r="I448" t="s">
        <v>1099</v>
      </c>
      <c r="J448" t="s">
        <v>420</v>
      </c>
      <c r="K448" t="s">
        <v>6</v>
      </c>
      <c r="L448" t="s">
        <v>409</v>
      </c>
      <c r="M448" t="s">
        <v>141</v>
      </c>
      <c r="N448" t="s">
        <v>2</v>
      </c>
      <c r="O448" t="s">
        <v>149</v>
      </c>
      <c r="P448" t="s">
        <v>99</v>
      </c>
      <c r="Q448" t="s">
        <v>181</v>
      </c>
      <c r="R448">
        <v>13.599641999999999</v>
      </c>
      <c r="S448">
        <v>10.689629</v>
      </c>
    </row>
    <row r="449" spans="1:19">
      <c r="A449" t="s">
        <v>2</v>
      </c>
      <c r="B449" t="s">
        <v>149</v>
      </c>
      <c r="C449" t="s">
        <v>99</v>
      </c>
      <c r="D449" t="s">
        <v>181</v>
      </c>
      <c r="E449" t="s">
        <v>567</v>
      </c>
      <c r="F449" t="s">
        <v>568</v>
      </c>
      <c r="G449" t="s">
        <v>1107</v>
      </c>
      <c r="I449" t="s">
        <v>1099</v>
      </c>
      <c r="J449" t="s">
        <v>420</v>
      </c>
      <c r="K449" t="s">
        <v>6</v>
      </c>
      <c r="L449" t="s">
        <v>409</v>
      </c>
      <c r="M449" t="s">
        <v>141</v>
      </c>
      <c r="N449" t="s">
        <v>2</v>
      </c>
      <c r="O449" t="s">
        <v>149</v>
      </c>
      <c r="P449" t="s">
        <v>99</v>
      </c>
      <c r="Q449" t="s">
        <v>181</v>
      </c>
      <c r="R449">
        <v>13.581848000000001</v>
      </c>
      <c r="S449">
        <v>10.510152</v>
      </c>
    </row>
    <row r="450" spans="1:19">
      <c r="A450" t="s">
        <v>2</v>
      </c>
      <c r="B450" t="s">
        <v>149</v>
      </c>
      <c r="C450" t="s">
        <v>99</v>
      </c>
      <c r="D450" t="s">
        <v>181</v>
      </c>
      <c r="E450" t="s">
        <v>381</v>
      </c>
      <c r="F450" t="s">
        <v>380</v>
      </c>
      <c r="G450" t="s">
        <v>1107</v>
      </c>
      <c r="I450" t="s">
        <v>1099</v>
      </c>
      <c r="J450" t="s">
        <v>420</v>
      </c>
      <c r="K450" t="s">
        <v>6</v>
      </c>
      <c r="L450" t="s">
        <v>409</v>
      </c>
      <c r="M450" t="s">
        <v>141</v>
      </c>
      <c r="N450" t="s">
        <v>2</v>
      </c>
      <c r="O450" t="s">
        <v>149</v>
      </c>
      <c r="P450" t="s">
        <v>99</v>
      </c>
      <c r="Q450" t="s">
        <v>181</v>
      </c>
      <c r="R450">
        <v>13.687055000000001</v>
      </c>
      <c r="S450">
        <v>10.551572</v>
      </c>
    </row>
    <row r="451" spans="1:19">
      <c r="A451" t="s">
        <v>2</v>
      </c>
      <c r="B451" t="s">
        <v>149</v>
      </c>
      <c r="C451" t="s">
        <v>99</v>
      </c>
      <c r="D451" t="s">
        <v>181</v>
      </c>
      <c r="E451" t="s">
        <v>569</v>
      </c>
      <c r="F451" t="s">
        <v>570</v>
      </c>
      <c r="G451" t="s">
        <v>1107</v>
      </c>
      <c r="I451" t="s">
        <v>1099</v>
      </c>
      <c r="J451" t="s">
        <v>420</v>
      </c>
      <c r="K451" t="s">
        <v>6</v>
      </c>
      <c r="L451" t="s">
        <v>409</v>
      </c>
      <c r="M451" t="s">
        <v>141</v>
      </c>
      <c r="N451" t="s">
        <v>2</v>
      </c>
      <c r="O451" t="s">
        <v>149</v>
      </c>
      <c r="P451" t="s">
        <v>99</v>
      </c>
      <c r="Q451" t="s">
        <v>181</v>
      </c>
      <c r="R451">
        <v>13.639984999999999</v>
      </c>
      <c r="S451">
        <v>10.637986</v>
      </c>
    </row>
    <row r="452" spans="1:19">
      <c r="A452" t="s">
        <v>2</v>
      </c>
      <c r="B452" t="s">
        <v>149</v>
      </c>
      <c r="C452" t="s">
        <v>35</v>
      </c>
      <c r="D452" t="s">
        <v>182</v>
      </c>
      <c r="E452" t="s">
        <v>573</v>
      </c>
      <c r="G452" t="s">
        <v>1107</v>
      </c>
      <c r="I452" t="s">
        <v>1099</v>
      </c>
      <c r="J452" t="s">
        <v>420</v>
      </c>
      <c r="K452" t="s">
        <v>6</v>
      </c>
      <c r="L452" t="s">
        <v>409</v>
      </c>
      <c r="M452" t="s">
        <v>141</v>
      </c>
      <c r="N452" t="s">
        <v>27</v>
      </c>
      <c r="O452" t="s">
        <v>148</v>
      </c>
      <c r="P452" t="s">
        <v>33</v>
      </c>
      <c r="Q452" t="s">
        <v>178</v>
      </c>
    </row>
    <row r="453" spans="1:19">
      <c r="A453" t="s">
        <v>2</v>
      </c>
      <c r="B453" t="s">
        <v>149</v>
      </c>
      <c r="C453" t="s">
        <v>35</v>
      </c>
      <c r="D453" t="s">
        <v>182</v>
      </c>
      <c r="E453" t="s">
        <v>574</v>
      </c>
      <c r="G453" t="s">
        <v>1107</v>
      </c>
      <c r="I453" t="s">
        <v>1099</v>
      </c>
      <c r="J453" t="s">
        <v>420</v>
      </c>
      <c r="K453" t="s">
        <v>6</v>
      </c>
      <c r="L453" t="s">
        <v>409</v>
      </c>
      <c r="M453" t="s">
        <v>141</v>
      </c>
      <c r="N453" t="s">
        <v>2</v>
      </c>
      <c r="O453" t="s">
        <v>149</v>
      </c>
      <c r="P453" t="s">
        <v>16</v>
      </c>
      <c r="Q453" t="s">
        <v>185</v>
      </c>
    </row>
    <row r="454" spans="1:19">
      <c r="A454" t="s">
        <v>2</v>
      </c>
      <c r="B454" t="s">
        <v>149</v>
      </c>
      <c r="C454" t="s">
        <v>35</v>
      </c>
      <c r="D454" t="s">
        <v>182</v>
      </c>
      <c r="E454" t="s">
        <v>575</v>
      </c>
      <c r="G454" t="s">
        <v>1107</v>
      </c>
      <c r="I454" t="s">
        <v>1099</v>
      </c>
      <c r="J454" t="s">
        <v>420</v>
      </c>
      <c r="K454" t="s">
        <v>6</v>
      </c>
      <c r="L454" t="s">
        <v>409</v>
      </c>
      <c r="M454" t="s">
        <v>141</v>
      </c>
      <c r="N454" t="s">
        <v>2</v>
      </c>
      <c r="O454" t="s">
        <v>149</v>
      </c>
      <c r="P454" t="s">
        <v>3</v>
      </c>
      <c r="Q454" t="s">
        <v>184</v>
      </c>
    </row>
    <row r="455" spans="1:19">
      <c r="A455" t="s">
        <v>2</v>
      </c>
      <c r="B455" t="s">
        <v>149</v>
      </c>
      <c r="C455" t="s">
        <v>35</v>
      </c>
      <c r="D455" t="s">
        <v>182</v>
      </c>
      <c r="E455" t="s">
        <v>354</v>
      </c>
      <c r="F455" t="s">
        <v>100</v>
      </c>
      <c r="G455" t="s">
        <v>1107</v>
      </c>
      <c r="I455" t="s">
        <v>1099</v>
      </c>
      <c r="J455" t="s">
        <v>420</v>
      </c>
      <c r="K455" t="s">
        <v>6</v>
      </c>
      <c r="L455" t="s">
        <v>409</v>
      </c>
      <c r="M455" t="s">
        <v>141</v>
      </c>
      <c r="N455" t="s">
        <v>27</v>
      </c>
      <c r="O455" t="s">
        <v>148</v>
      </c>
      <c r="P455" t="s">
        <v>33</v>
      </c>
      <c r="Q455" t="s">
        <v>178</v>
      </c>
      <c r="R455">
        <v>13.828327</v>
      </c>
      <c r="S455">
        <v>10.510182</v>
      </c>
    </row>
    <row r="456" spans="1:19">
      <c r="A456" t="s">
        <v>2</v>
      </c>
      <c r="B456" t="s">
        <v>149</v>
      </c>
      <c r="C456" t="s">
        <v>35</v>
      </c>
      <c r="D456" t="s">
        <v>182</v>
      </c>
      <c r="E456" t="s">
        <v>364</v>
      </c>
      <c r="F456" t="s">
        <v>101</v>
      </c>
      <c r="G456" t="s">
        <v>1107</v>
      </c>
      <c r="I456" t="s">
        <v>1099</v>
      </c>
      <c r="J456" t="s">
        <v>420</v>
      </c>
      <c r="K456" t="s">
        <v>6</v>
      </c>
      <c r="L456" t="s">
        <v>409</v>
      </c>
      <c r="M456" t="s">
        <v>141</v>
      </c>
      <c r="N456" t="s">
        <v>2</v>
      </c>
      <c r="O456" t="s">
        <v>149</v>
      </c>
      <c r="P456" t="s">
        <v>3</v>
      </c>
      <c r="Q456" t="s">
        <v>184</v>
      </c>
      <c r="R456">
        <v>13.655704</v>
      </c>
      <c r="S456">
        <v>10.807881</v>
      </c>
    </row>
    <row r="457" spans="1:19">
      <c r="A457" t="s">
        <v>2</v>
      </c>
      <c r="B457" t="s">
        <v>149</v>
      </c>
      <c r="C457" t="s">
        <v>35</v>
      </c>
      <c r="D457" t="s">
        <v>182</v>
      </c>
      <c r="E457" t="s">
        <v>365</v>
      </c>
      <c r="F457" t="s">
        <v>102</v>
      </c>
      <c r="G457" t="s">
        <v>1107</v>
      </c>
      <c r="I457" t="s">
        <v>1099</v>
      </c>
      <c r="J457" t="s">
        <v>420</v>
      </c>
      <c r="K457" t="s">
        <v>6</v>
      </c>
      <c r="L457" t="s">
        <v>409</v>
      </c>
      <c r="M457" t="s">
        <v>141</v>
      </c>
      <c r="N457" t="s">
        <v>2</v>
      </c>
      <c r="O457" t="s">
        <v>149</v>
      </c>
      <c r="P457" t="s">
        <v>16</v>
      </c>
      <c r="Q457" t="s">
        <v>185</v>
      </c>
      <c r="R457">
        <v>13.754343</v>
      </c>
      <c r="S457">
        <v>10.827814</v>
      </c>
    </row>
    <row r="458" spans="1:19">
      <c r="A458" t="s">
        <v>2</v>
      </c>
      <c r="B458" t="s">
        <v>149</v>
      </c>
      <c r="C458" t="s">
        <v>35</v>
      </c>
      <c r="D458" t="s">
        <v>182</v>
      </c>
      <c r="E458" t="s">
        <v>369</v>
      </c>
      <c r="F458" t="s">
        <v>103</v>
      </c>
      <c r="G458" t="s">
        <v>1107</v>
      </c>
      <c r="I458" t="s">
        <v>1099</v>
      </c>
      <c r="J458" t="s">
        <v>420</v>
      </c>
      <c r="K458" t="s">
        <v>6</v>
      </c>
      <c r="L458" t="s">
        <v>409</v>
      </c>
      <c r="M458" t="s">
        <v>141</v>
      </c>
      <c r="N458" t="s">
        <v>2</v>
      </c>
      <c r="O458" t="s">
        <v>149</v>
      </c>
      <c r="P458" t="s">
        <v>3</v>
      </c>
      <c r="Q458" t="s">
        <v>184</v>
      </c>
      <c r="R458">
        <v>13.762404</v>
      </c>
      <c r="S458">
        <v>10.758965</v>
      </c>
    </row>
    <row r="459" spans="1:19">
      <c r="A459" t="s">
        <v>2</v>
      </c>
      <c r="B459" t="s">
        <v>149</v>
      </c>
      <c r="C459" t="s">
        <v>35</v>
      </c>
      <c r="D459" t="s">
        <v>182</v>
      </c>
      <c r="E459" t="s">
        <v>372</v>
      </c>
      <c r="F459" t="s">
        <v>104</v>
      </c>
      <c r="G459" t="s">
        <v>1107</v>
      </c>
      <c r="I459" t="s">
        <v>1099</v>
      </c>
      <c r="J459" t="s">
        <v>420</v>
      </c>
      <c r="K459" t="s">
        <v>6</v>
      </c>
      <c r="L459" t="s">
        <v>409</v>
      </c>
      <c r="M459" t="s">
        <v>141</v>
      </c>
      <c r="N459" t="s">
        <v>2</v>
      </c>
      <c r="O459" t="s">
        <v>149</v>
      </c>
      <c r="P459" t="s">
        <v>3</v>
      </c>
      <c r="Q459" t="s">
        <v>184</v>
      </c>
      <c r="R459">
        <v>13.801885</v>
      </c>
      <c r="S459">
        <v>10.739782</v>
      </c>
    </row>
    <row r="460" spans="1:19">
      <c r="A460" t="s">
        <v>2</v>
      </c>
      <c r="B460" t="s">
        <v>149</v>
      </c>
      <c r="C460" t="s">
        <v>35</v>
      </c>
      <c r="D460" t="s">
        <v>182</v>
      </c>
      <c r="E460" t="s">
        <v>571</v>
      </c>
      <c r="F460" t="s">
        <v>572</v>
      </c>
      <c r="G460" t="s">
        <v>1107</v>
      </c>
      <c r="I460" t="s">
        <v>1099</v>
      </c>
      <c r="J460" t="s">
        <v>420</v>
      </c>
      <c r="K460" t="s">
        <v>6</v>
      </c>
      <c r="L460" t="s">
        <v>409</v>
      </c>
      <c r="M460" t="s">
        <v>141</v>
      </c>
      <c r="N460" t="s">
        <v>27</v>
      </c>
      <c r="O460" t="s">
        <v>148</v>
      </c>
      <c r="P460" t="s">
        <v>33</v>
      </c>
      <c r="Q460" t="s">
        <v>178</v>
      </c>
      <c r="R460">
        <v>14.006542</v>
      </c>
      <c r="S460">
        <v>10.59897</v>
      </c>
    </row>
    <row r="461" spans="1:19">
      <c r="A461" t="s">
        <v>2</v>
      </c>
      <c r="B461" t="s">
        <v>149</v>
      </c>
      <c r="C461" t="s">
        <v>35</v>
      </c>
      <c r="D461" t="s">
        <v>182</v>
      </c>
      <c r="E461" t="s">
        <v>383</v>
      </c>
      <c r="F461" t="s">
        <v>105</v>
      </c>
      <c r="G461" t="s">
        <v>1107</v>
      </c>
      <c r="I461" t="s">
        <v>1099</v>
      </c>
      <c r="J461" t="s">
        <v>420</v>
      </c>
      <c r="K461" t="s">
        <v>6</v>
      </c>
      <c r="L461" t="s">
        <v>409</v>
      </c>
      <c r="M461" t="s">
        <v>141</v>
      </c>
      <c r="N461" t="s">
        <v>2</v>
      </c>
      <c r="O461" t="s">
        <v>149</v>
      </c>
      <c r="P461" t="s">
        <v>3</v>
      </c>
      <c r="Q461" t="s">
        <v>184</v>
      </c>
      <c r="R461">
        <v>13.897828000000001</v>
      </c>
      <c r="S461">
        <v>10.634753999999999</v>
      </c>
    </row>
    <row r="462" spans="1:19">
      <c r="A462" t="s">
        <v>2</v>
      </c>
      <c r="B462" t="s">
        <v>149</v>
      </c>
      <c r="C462" t="s">
        <v>16</v>
      </c>
      <c r="D462" t="s">
        <v>185</v>
      </c>
      <c r="E462" t="s">
        <v>582</v>
      </c>
      <c r="G462" t="s">
        <v>1107</v>
      </c>
      <c r="I462" t="s">
        <v>1099</v>
      </c>
      <c r="J462" t="s">
        <v>420</v>
      </c>
      <c r="K462" t="s">
        <v>6</v>
      </c>
      <c r="L462" t="s">
        <v>409</v>
      </c>
      <c r="M462" t="s">
        <v>141</v>
      </c>
      <c r="N462" t="s">
        <v>2</v>
      </c>
      <c r="O462" t="s">
        <v>149</v>
      </c>
      <c r="P462" t="s">
        <v>16</v>
      </c>
      <c r="Q462" t="s">
        <v>185</v>
      </c>
    </row>
    <row r="463" spans="1:19">
      <c r="A463" t="s">
        <v>2</v>
      </c>
      <c r="B463" t="s">
        <v>149</v>
      </c>
      <c r="C463" t="s">
        <v>16</v>
      </c>
      <c r="D463" t="s">
        <v>185</v>
      </c>
      <c r="E463" t="s">
        <v>577</v>
      </c>
      <c r="G463" t="s">
        <v>1107</v>
      </c>
      <c r="I463" t="s">
        <v>1099</v>
      </c>
      <c r="J463" t="s">
        <v>420</v>
      </c>
      <c r="K463" t="s">
        <v>6</v>
      </c>
      <c r="L463" t="s">
        <v>409</v>
      </c>
      <c r="M463" t="s">
        <v>141</v>
      </c>
      <c r="N463" t="s">
        <v>2</v>
      </c>
      <c r="O463" t="s">
        <v>149</v>
      </c>
      <c r="P463" t="s">
        <v>16</v>
      </c>
      <c r="Q463" t="s">
        <v>185</v>
      </c>
    </row>
    <row r="464" spans="1:19">
      <c r="A464" t="s">
        <v>2</v>
      </c>
      <c r="B464" t="s">
        <v>149</v>
      </c>
      <c r="C464" t="s">
        <v>16</v>
      </c>
      <c r="D464" t="s">
        <v>185</v>
      </c>
      <c r="E464" t="s">
        <v>578</v>
      </c>
      <c r="G464" t="s">
        <v>1107</v>
      </c>
      <c r="I464" t="s">
        <v>1099</v>
      </c>
      <c r="J464" t="s">
        <v>420</v>
      </c>
      <c r="K464" t="s">
        <v>6</v>
      </c>
      <c r="L464" t="s">
        <v>409</v>
      </c>
      <c r="M464" t="s">
        <v>141</v>
      </c>
      <c r="N464" t="s">
        <v>2</v>
      </c>
      <c r="O464" t="s">
        <v>149</v>
      </c>
      <c r="P464" t="s">
        <v>16</v>
      </c>
      <c r="Q464" t="s">
        <v>185</v>
      </c>
    </row>
    <row r="465" spans="1:19">
      <c r="A465" t="s">
        <v>2</v>
      </c>
      <c r="B465" t="s">
        <v>149</v>
      </c>
      <c r="C465" t="s">
        <v>16</v>
      </c>
      <c r="D465" t="s">
        <v>185</v>
      </c>
      <c r="E465" t="s">
        <v>579</v>
      </c>
      <c r="G465" t="s">
        <v>1107</v>
      </c>
      <c r="I465" t="s">
        <v>1099</v>
      </c>
      <c r="J465" t="s">
        <v>420</v>
      </c>
      <c r="K465" t="s">
        <v>6</v>
      </c>
      <c r="L465" t="s">
        <v>409</v>
      </c>
      <c r="M465" t="s">
        <v>141</v>
      </c>
      <c r="N465" t="s">
        <v>2</v>
      </c>
      <c r="O465" t="s">
        <v>149</v>
      </c>
      <c r="P465" t="s">
        <v>16</v>
      </c>
      <c r="Q465" t="s">
        <v>185</v>
      </c>
    </row>
    <row r="466" spans="1:19">
      <c r="A466" t="s">
        <v>2</v>
      </c>
      <c r="B466" t="s">
        <v>149</v>
      </c>
      <c r="C466" t="s">
        <v>16</v>
      </c>
      <c r="D466" t="s">
        <v>185</v>
      </c>
      <c r="E466" t="s">
        <v>367</v>
      </c>
      <c r="F466" t="s">
        <v>366</v>
      </c>
      <c r="G466" t="s">
        <v>1107</v>
      </c>
      <c r="I466" t="s">
        <v>1099</v>
      </c>
      <c r="J466" t="s">
        <v>420</v>
      </c>
      <c r="K466" t="s">
        <v>6</v>
      </c>
      <c r="L466" t="s">
        <v>409</v>
      </c>
      <c r="M466" t="s">
        <v>141</v>
      </c>
      <c r="N466" t="s">
        <v>2</v>
      </c>
      <c r="O466" t="s">
        <v>149</v>
      </c>
      <c r="P466" t="s">
        <v>16</v>
      </c>
      <c r="Q466" t="s">
        <v>185</v>
      </c>
      <c r="R466">
        <v>13.825616</v>
      </c>
      <c r="S466">
        <v>10.908295000000001</v>
      </c>
    </row>
    <row r="467" spans="1:19">
      <c r="A467" t="s">
        <v>2</v>
      </c>
      <c r="B467" t="s">
        <v>149</v>
      </c>
      <c r="C467" t="s">
        <v>16</v>
      </c>
      <c r="D467" t="s">
        <v>185</v>
      </c>
      <c r="E467" t="s">
        <v>580</v>
      </c>
      <c r="F467" t="s">
        <v>581</v>
      </c>
      <c r="G467" t="s">
        <v>1107</v>
      </c>
      <c r="I467" t="s">
        <v>1099</v>
      </c>
      <c r="J467" t="s">
        <v>420</v>
      </c>
      <c r="K467" t="s">
        <v>6</v>
      </c>
      <c r="L467" t="s">
        <v>409</v>
      </c>
      <c r="M467" t="s">
        <v>141</v>
      </c>
      <c r="N467" t="s">
        <v>2</v>
      </c>
      <c r="O467" t="s">
        <v>149</v>
      </c>
      <c r="P467" t="s">
        <v>16</v>
      </c>
      <c r="Q467" t="s">
        <v>185</v>
      </c>
      <c r="R467">
        <v>13.921112000000001</v>
      </c>
      <c r="S467">
        <v>10.934810000000001</v>
      </c>
    </row>
    <row r="468" spans="1:19">
      <c r="A468" t="s">
        <v>2</v>
      </c>
      <c r="B468" t="s">
        <v>149</v>
      </c>
      <c r="C468" t="s">
        <v>16</v>
      </c>
      <c r="D468" t="s">
        <v>185</v>
      </c>
      <c r="E468" t="s">
        <v>373</v>
      </c>
      <c r="F468" t="s">
        <v>118</v>
      </c>
      <c r="G468" t="s">
        <v>1107</v>
      </c>
      <c r="I468" t="s">
        <v>1099</v>
      </c>
      <c r="J468" t="s">
        <v>420</v>
      </c>
      <c r="K468" t="s">
        <v>6</v>
      </c>
      <c r="L468" t="s">
        <v>409</v>
      </c>
      <c r="M468" t="s">
        <v>141</v>
      </c>
      <c r="N468" t="s">
        <v>2</v>
      </c>
      <c r="O468" t="s">
        <v>149</v>
      </c>
      <c r="P468" t="s">
        <v>16</v>
      </c>
      <c r="Q468" t="s">
        <v>185</v>
      </c>
      <c r="R468">
        <v>13.868566</v>
      </c>
      <c r="S468">
        <v>10.962505</v>
      </c>
    </row>
    <row r="469" spans="1:19">
      <c r="A469" t="s">
        <v>2</v>
      </c>
      <c r="B469" t="s">
        <v>149</v>
      </c>
      <c r="C469" t="s">
        <v>16</v>
      </c>
      <c r="D469" t="s">
        <v>185</v>
      </c>
      <c r="E469" t="s">
        <v>374</v>
      </c>
      <c r="F469" t="s">
        <v>119</v>
      </c>
      <c r="G469" t="s">
        <v>1107</v>
      </c>
      <c r="I469" t="s">
        <v>1099</v>
      </c>
      <c r="J469" t="s">
        <v>420</v>
      </c>
      <c r="K469" t="s">
        <v>6</v>
      </c>
      <c r="L469" t="s">
        <v>409</v>
      </c>
      <c r="M469" t="s">
        <v>141</v>
      </c>
      <c r="N469" t="s">
        <v>2</v>
      </c>
      <c r="O469" t="s">
        <v>149</v>
      </c>
      <c r="P469" t="s">
        <v>16</v>
      </c>
      <c r="Q469" t="s">
        <v>185</v>
      </c>
      <c r="R469">
        <v>13.906833000000001</v>
      </c>
      <c r="S469">
        <v>10.965978</v>
      </c>
    </row>
    <row r="470" spans="1:19">
      <c r="A470" t="s">
        <v>2</v>
      </c>
      <c r="B470" t="s">
        <v>149</v>
      </c>
      <c r="C470" t="s">
        <v>16</v>
      </c>
      <c r="D470" t="s">
        <v>185</v>
      </c>
      <c r="E470" t="s">
        <v>378</v>
      </c>
      <c r="F470" t="s">
        <v>117</v>
      </c>
      <c r="G470" t="s">
        <v>1107</v>
      </c>
      <c r="I470" t="s">
        <v>1099</v>
      </c>
      <c r="J470" t="s">
        <v>420</v>
      </c>
      <c r="K470" t="s">
        <v>6</v>
      </c>
      <c r="L470" t="s">
        <v>409</v>
      </c>
      <c r="M470" t="s">
        <v>141</v>
      </c>
      <c r="N470" t="s">
        <v>2</v>
      </c>
      <c r="O470" t="s">
        <v>149</v>
      </c>
      <c r="P470" t="s">
        <v>16</v>
      </c>
      <c r="Q470" t="s">
        <v>185</v>
      </c>
      <c r="R470">
        <v>13.842622</v>
      </c>
      <c r="S470">
        <v>10.922553000000001</v>
      </c>
    </row>
    <row r="471" spans="1:19">
      <c r="A471" t="s">
        <v>2</v>
      </c>
      <c r="B471" t="s">
        <v>149</v>
      </c>
      <c r="C471" t="s">
        <v>140</v>
      </c>
      <c r="D471" t="s">
        <v>186</v>
      </c>
      <c r="E471" t="s">
        <v>348</v>
      </c>
      <c r="F471" t="s">
        <v>583</v>
      </c>
      <c r="G471" t="s">
        <v>1107</v>
      </c>
      <c r="I471" t="s">
        <v>1099</v>
      </c>
      <c r="J471" t="s">
        <v>420</v>
      </c>
      <c r="K471" t="s">
        <v>6</v>
      </c>
      <c r="L471" t="s">
        <v>409</v>
      </c>
      <c r="M471" t="s">
        <v>141</v>
      </c>
      <c r="N471" t="s">
        <v>27</v>
      </c>
      <c r="O471" t="s">
        <v>148</v>
      </c>
      <c r="P471" t="s">
        <v>33</v>
      </c>
      <c r="Q471" t="s">
        <v>178</v>
      </c>
      <c r="R471">
        <v>13.923038</v>
      </c>
      <c r="S471">
        <v>10.802239999999999</v>
      </c>
    </row>
    <row r="472" spans="1:19">
      <c r="A472" t="s">
        <v>2</v>
      </c>
      <c r="B472" t="s">
        <v>149</v>
      </c>
      <c r="C472" t="s">
        <v>140</v>
      </c>
      <c r="D472" t="s">
        <v>186</v>
      </c>
      <c r="E472" t="s">
        <v>266</v>
      </c>
      <c r="F472" t="s">
        <v>56</v>
      </c>
      <c r="G472" t="s">
        <v>1107</v>
      </c>
      <c r="I472" t="s">
        <v>1099</v>
      </c>
      <c r="J472" t="s">
        <v>420</v>
      </c>
      <c r="K472" t="s">
        <v>6</v>
      </c>
      <c r="L472" t="s">
        <v>409</v>
      </c>
      <c r="M472" t="s">
        <v>141</v>
      </c>
      <c r="N472" t="s">
        <v>27</v>
      </c>
      <c r="O472" t="s">
        <v>148</v>
      </c>
      <c r="P472" t="s">
        <v>33</v>
      </c>
      <c r="Q472" t="s">
        <v>178</v>
      </c>
      <c r="R472">
        <v>14.738611000000001</v>
      </c>
      <c r="S472">
        <v>11.545555999999999</v>
      </c>
    </row>
    <row r="473" spans="1:19">
      <c r="A473" t="s">
        <v>2</v>
      </c>
      <c r="B473" t="s">
        <v>149</v>
      </c>
      <c r="C473" t="s">
        <v>140</v>
      </c>
      <c r="D473" t="s">
        <v>186</v>
      </c>
      <c r="E473" t="s">
        <v>370</v>
      </c>
      <c r="F473" t="s">
        <v>120</v>
      </c>
      <c r="G473" t="s">
        <v>1107</v>
      </c>
      <c r="I473" t="s">
        <v>1099</v>
      </c>
      <c r="J473" t="s">
        <v>420</v>
      </c>
      <c r="K473" t="s">
        <v>6</v>
      </c>
      <c r="L473" t="s">
        <v>409</v>
      </c>
      <c r="M473" t="s">
        <v>141</v>
      </c>
      <c r="N473" t="s">
        <v>2</v>
      </c>
      <c r="O473" t="s">
        <v>149</v>
      </c>
      <c r="P473" t="s">
        <v>35</v>
      </c>
      <c r="Q473" t="s">
        <v>182</v>
      </c>
      <c r="R473">
        <v>13.968902999999999</v>
      </c>
      <c r="S473">
        <v>10.758789</v>
      </c>
    </row>
    <row r="474" spans="1:19">
      <c r="A474" t="s">
        <v>2</v>
      </c>
      <c r="B474" t="s">
        <v>149</v>
      </c>
      <c r="C474" t="s">
        <v>140</v>
      </c>
      <c r="D474" t="s">
        <v>186</v>
      </c>
      <c r="E474" t="s">
        <v>376</v>
      </c>
      <c r="F474" t="s">
        <v>375</v>
      </c>
      <c r="G474" t="s">
        <v>1107</v>
      </c>
      <c r="I474" t="s">
        <v>1099</v>
      </c>
      <c r="J474" t="s">
        <v>420</v>
      </c>
      <c r="K474" t="s">
        <v>6</v>
      </c>
      <c r="L474" t="s">
        <v>409</v>
      </c>
      <c r="M474" t="s">
        <v>141</v>
      </c>
      <c r="N474" t="s">
        <v>27</v>
      </c>
      <c r="O474" t="s">
        <v>148</v>
      </c>
      <c r="P474" t="s">
        <v>33</v>
      </c>
      <c r="Q474" t="s">
        <v>178</v>
      </c>
      <c r="R474">
        <v>13.929561</v>
      </c>
      <c r="S474">
        <v>10.787554</v>
      </c>
    </row>
    <row r="475" spans="1:19">
      <c r="A475" t="s">
        <v>2</v>
      </c>
      <c r="B475" t="s">
        <v>149</v>
      </c>
      <c r="C475" t="s">
        <v>140</v>
      </c>
      <c r="D475" t="s">
        <v>186</v>
      </c>
      <c r="E475" t="s">
        <v>379</v>
      </c>
      <c r="F475" t="s">
        <v>586</v>
      </c>
      <c r="G475" t="s">
        <v>1107</v>
      </c>
      <c r="I475" t="s">
        <v>1099</v>
      </c>
      <c r="J475" t="s">
        <v>420</v>
      </c>
      <c r="K475" t="s">
        <v>6</v>
      </c>
      <c r="L475" t="s">
        <v>409</v>
      </c>
      <c r="M475" t="s">
        <v>141</v>
      </c>
      <c r="N475" t="s">
        <v>2</v>
      </c>
      <c r="O475" t="s">
        <v>149</v>
      </c>
      <c r="P475" t="s">
        <v>16</v>
      </c>
      <c r="Q475" t="s">
        <v>185</v>
      </c>
      <c r="R475">
        <v>13.983158</v>
      </c>
      <c r="S475">
        <v>10.778447</v>
      </c>
    </row>
    <row r="476" spans="1:19">
      <c r="A476" t="s">
        <v>2</v>
      </c>
      <c r="B476" t="s">
        <v>149</v>
      </c>
      <c r="C476" t="s">
        <v>140</v>
      </c>
      <c r="D476" t="s">
        <v>186</v>
      </c>
      <c r="E476" t="s">
        <v>584</v>
      </c>
      <c r="F476" t="s">
        <v>585</v>
      </c>
      <c r="G476" t="s">
        <v>1107</v>
      </c>
      <c r="I476" t="s">
        <v>1099</v>
      </c>
      <c r="J476" t="s">
        <v>420</v>
      </c>
      <c r="K476" t="s">
        <v>6</v>
      </c>
      <c r="L476" t="s">
        <v>409</v>
      </c>
      <c r="M476" t="s">
        <v>141</v>
      </c>
      <c r="N476" t="s">
        <v>27</v>
      </c>
      <c r="O476" t="s">
        <v>148</v>
      </c>
      <c r="P476" t="s">
        <v>33</v>
      </c>
      <c r="Q476" t="s">
        <v>178</v>
      </c>
      <c r="R476">
        <v>13.915489000000001</v>
      </c>
      <c r="S476">
        <v>10.757849</v>
      </c>
    </row>
    <row r="482" spans="7:9">
      <c r="G482" s="64"/>
      <c r="H482" s="64"/>
      <c r="I482" s="64"/>
    </row>
    <row r="483" spans="7:9">
      <c r="G483" s="64"/>
      <c r="H483" s="65"/>
      <c r="I483" s="66"/>
    </row>
    <row r="484" spans="7:9">
      <c r="G484" s="64"/>
      <c r="H484" s="67"/>
      <c r="I484" s="66"/>
    </row>
    <row r="485" spans="7:9">
      <c r="G485" s="64"/>
      <c r="H485" s="67"/>
      <c r="I485" s="66"/>
    </row>
    <row r="486" spans="7:9">
      <c r="G486" s="64"/>
      <c r="H486" s="66"/>
      <c r="I486" s="66"/>
    </row>
    <row r="487" spans="7:9">
      <c r="G487" s="64"/>
      <c r="H487" s="64"/>
      <c r="I487" s="64"/>
    </row>
  </sheetData>
  <conditionalFormatting sqref="A2:S476">
    <cfRule type="expression" dxfId="44" priority="1">
      <formula>MOD(ROW(),2)=1</formula>
    </cfRule>
  </conditionalFormatting>
  <pageMargins left="0.7" right="0.7" top="0.75" bottom="0.75" header="0.3" footer="0.3"/>
  <pageSetup paperSize="9" orientation="portrait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Y178"/>
  <sheetViews>
    <sheetView zoomScale="70" zoomScaleNormal="70" workbookViewId="0">
      <selection activeCell="D10" sqref="D10"/>
    </sheetView>
  </sheetViews>
  <sheetFormatPr defaultColWidth="36.140625" defaultRowHeight="15"/>
  <cols>
    <col min="1" max="2" width="15.42578125" bestFit="1" customWidth="1"/>
    <col min="3" max="3" width="18" bestFit="1" customWidth="1"/>
    <col min="4" max="4" width="14.140625" bestFit="1" customWidth="1"/>
    <col min="5" max="5" width="24.140625" bestFit="1" customWidth="1"/>
    <col min="6" max="6" width="22.28515625" bestFit="1" customWidth="1"/>
    <col min="7" max="7" width="16.28515625" bestFit="1" customWidth="1"/>
    <col min="8" max="8" width="17.7109375" bestFit="1" customWidth="1"/>
    <col min="9" max="9" width="24.140625" bestFit="1" customWidth="1"/>
    <col min="10" max="10" width="22.28515625" bestFit="1" customWidth="1"/>
    <col min="11" max="11" width="25.42578125" bestFit="1" customWidth="1"/>
    <col min="12" max="12" width="29.140625" bestFit="1" customWidth="1"/>
    <col min="13" max="13" width="9.28515625" bestFit="1" customWidth="1"/>
    <col min="14" max="14" width="10.140625" bestFit="1" customWidth="1"/>
    <col min="15" max="15" width="37.5703125" bestFit="1" customWidth="1"/>
    <col min="16" max="16" width="17.28515625" bestFit="1" customWidth="1"/>
    <col min="17" max="17" width="24.7109375" bestFit="1" customWidth="1"/>
    <col min="18" max="18" width="20.140625" bestFit="1" customWidth="1"/>
    <col min="19" max="19" width="26.140625" bestFit="1" customWidth="1"/>
    <col min="20" max="20" width="19.7109375" bestFit="1" customWidth="1"/>
    <col min="21" max="21" width="25.42578125" bestFit="1" customWidth="1"/>
    <col min="22" max="22" width="20.140625" bestFit="1" customWidth="1"/>
    <col min="23" max="23" width="26.140625" bestFit="1" customWidth="1"/>
    <col min="24" max="24" width="20.140625" bestFit="1" customWidth="1"/>
    <col min="25" max="25" width="26.140625" bestFit="1" customWidth="1"/>
  </cols>
  <sheetData>
    <row r="1" spans="1:25">
      <c r="A1" s="53" t="s">
        <v>406</v>
      </c>
      <c r="B1" s="53" t="s">
        <v>411</v>
      </c>
      <c r="C1" s="53" t="s">
        <v>1109</v>
      </c>
      <c r="D1" s="53" t="s">
        <v>1110</v>
      </c>
      <c r="E1" s="53" t="s">
        <v>1111</v>
      </c>
      <c r="F1" s="53" t="s">
        <v>1112</v>
      </c>
      <c r="G1" s="53" t="s">
        <v>1113</v>
      </c>
      <c r="H1" s="53" t="s">
        <v>1114</v>
      </c>
      <c r="I1" s="53" t="s">
        <v>1115</v>
      </c>
      <c r="J1" s="53" t="s">
        <v>1116</v>
      </c>
      <c r="K1" s="53" t="s">
        <v>1117</v>
      </c>
      <c r="L1" s="53" t="s">
        <v>1054</v>
      </c>
      <c r="M1" s="53" t="s">
        <v>1089</v>
      </c>
      <c r="N1" s="53" t="s">
        <v>1118</v>
      </c>
      <c r="O1" s="53" t="s">
        <v>1119</v>
      </c>
      <c r="P1" s="53" t="s">
        <v>1120</v>
      </c>
      <c r="Q1" s="53" t="s">
        <v>1121</v>
      </c>
      <c r="R1" s="53" t="s">
        <v>1122</v>
      </c>
      <c r="S1" s="53" t="s">
        <v>1123</v>
      </c>
      <c r="T1" s="53" t="s">
        <v>1124</v>
      </c>
      <c r="U1" s="53" t="s">
        <v>1125</v>
      </c>
      <c r="V1" s="53" t="s">
        <v>1126</v>
      </c>
      <c r="W1" s="53" t="s">
        <v>1127</v>
      </c>
      <c r="X1" s="53" t="s">
        <v>1128</v>
      </c>
      <c r="Y1" s="53" t="s">
        <v>1129</v>
      </c>
    </row>
    <row r="2" spans="1:25">
      <c r="A2" s="29" t="s">
        <v>409</v>
      </c>
      <c r="B2" s="4" t="s">
        <v>141</v>
      </c>
      <c r="C2" s="4" t="s">
        <v>11</v>
      </c>
      <c r="D2" s="4" t="s">
        <v>144</v>
      </c>
      <c r="E2" s="198" t="s">
        <v>462</v>
      </c>
      <c r="F2" s="198" t="s">
        <v>463</v>
      </c>
      <c r="G2" s="4" t="s">
        <v>26</v>
      </c>
      <c r="H2" s="4" t="s">
        <v>153</v>
      </c>
      <c r="I2" s="92" t="s">
        <v>486</v>
      </c>
      <c r="J2" s="92" t="s">
        <v>487</v>
      </c>
      <c r="K2" s="4" t="s">
        <v>1</v>
      </c>
      <c r="L2" s="4" t="s">
        <v>1072</v>
      </c>
      <c r="M2" s="7">
        <v>10</v>
      </c>
      <c r="N2" s="7">
        <v>57</v>
      </c>
      <c r="O2" s="4" t="s">
        <v>1099</v>
      </c>
      <c r="P2" s="4"/>
      <c r="Q2" s="4" t="s">
        <v>1067</v>
      </c>
      <c r="R2" s="4" t="s">
        <v>6</v>
      </c>
      <c r="S2" s="4" t="s">
        <v>420</v>
      </c>
      <c r="T2" s="4" t="s">
        <v>141</v>
      </c>
      <c r="U2" s="4" t="s">
        <v>409</v>
      </c>
      <c r="V2" s="4" t="s">
        <v>145</v>
      </c>
      <c r="W2" s="4" t="s">
        <v>7</v>
      </c>
      <c r="X2" s="4"/>
      <c r="Y2" s="24"/>
    </row>
    <row r="3" spans="1:25">
      <c r="A3" s="29" t="s">
        <v>409</v>
      </c>
      <c r="B3" s="4" t="s">
        <v>141</v>
      </c>
      <c r="C3" s="4" t="s">
        <v>11</v>
      </c>
      <c r="D3" s="4" t="s">
        <v>144</v>
      </c>
      <c r="E3" s="198" t="s">
        <v>462</v>
      </c>
      <c r="F3" s="198" t="s">
        <v>463</v>
      </c>
      <c r="G3" s="4" t="s">
        <v>30</v>
      </c>
      <c r="H3" s="4" t="s">
        <v>156</v>
      </c>
      <c r="I3" s="92" t="s">
        <v>494</v>
      </c>
      <c r="J3" s="92" t="s">
        <v>495</v>
      </c>
      <c r="K3" s="4" t="s">
        <v>1</v>
      </c>
      <c r="L3" s="4" t="s">
        <v>1073</v>
      </c>
      <c r="M3" s="7">
        <v>13</v>
      </c>
      <c r="N3" s="7">
        <v>90</v>
      </c>
      <c r="O3" s="4" t="s">
        <v>1099</v>
      </c>
      <c r="P3" s="4"/>
      <c r="Q3" s="4" t="s">
        <v>1067</v>
      </c>
      <c r="R3" s="4" t="s">
        <v>6</v>
      </c>
      <c r="S3" s="4" t="s">
        <v>420</v>
      </c>
      <c r="T3" s="4" t="s">
        <v>141</v>
      </c>
      <c r="U3" s="4" t="s">
        <v>409</v>
      </c>
      <c r="V3" s="4" t="s">
        <v>149</v>
      </c>
      <c r="W3" s="4" t="s">
        <v>2</v>
      </c>
      <c r="X3" s="4"/>
      <c r="Y3" s="24"/>
    </row>
    <row r="4" spans="1:25">
      <c r="A4" s="29" t="s">
        <v>409</v>
      </c>
      <c r="B4" s="4" t="s">
        <v>141</v>
      </c>
      <c r="C4" s="4" t="s">
        <v>11</v>
      </c>
      <c r="D4" s="4" t="s">
        <v>144</v>
      </c>
      <c r="E4" s="198" t="s">
        <v>462</v>
      </c>
      <c r="F4" s="198" t="s">
        <v>463</v>
      </c>
      <c r="G4" s="4" t="s">
        <v>30</v>
      </c>
      <c r="H4" s="4" t="s">
        <v>156</v>
      </c>
      <c r="I4" s="92" t="s">
        <v>494</v>
      </c>
      <c r="J4" s="92" t="s">
        <v>495</v>
      </c>
      <c r="K4" s="4" t="s">
        <v>1</v>
      </c>
      <c r="L4" s="4" t="s">
        <v>1072</v>
      </c>
      <c r="M4" s="7">
        <v>4</v>
      </c>
      <c r="N4" s="7">
        <v>27</v>
      </c>
      <c r="O4" s="4" t="s">
        <v>1099</v>
      </c>
      <c r="P4" s="4"/>
      <c r="Q4" s="4" t="s">
        <v>1067</v>
      </c>
      <c r="R4" s="4" t="s">
        <v>6</v>
      </c>
      <c r="S4" s="4" t="s">
        <v>420</v>
      </c>
      <c r="T4" s="4" t="s">
        <v>141</v>
      </c>
      <c r="U4" s="4" t="s">
        <v>409</v>
      </c>
      <c r="V4" s="4" t="s">
        <v>149</v>
      </c>
      <c r="W4" s="4" t="s">
        <v>2</v>
      </c>
      <c r="X4" s="4"/>
      <c r="Y4" s="24"/>
    </row>
    <row r="5" spans="1:25">
      <c r="A5" s="29" t="s">
        <v>409</v>
      </c>
      <c r="B5" s="4" t="s">
        <v>141</v>
      </c>
      <c r="C5" s="4" t="s">
        <v>11</v>
      </c>
      <c r="D5" s="4" t="s">
        <v>144</v>
      </c>
      <c r="E5" s="198" t="s">
        <v>462</v>
      </c>
      <c r="F5" s="198" t="s">
        <v>463</v>
      </c>
      <c r="G5" s="4" t="s">
        <v>34</v>
      </c>
      <c r="H5" s="4" t="s">
        <v>150</v>
      </c>
      <c r="I5" s="92" t="s">
        <v>464</v>
      </c>
      <c r="J5" s="92" t="s">
        <v>465</v>
      </c>
      <c r="K5" s="4" t="s">
        <v>1</v>
      </c>
      <c r="L5" s="4" t="s">
        <v>1073</v>
      </c>
      <c r="M5" s="7">
        <v>24</v>
      </c>
      <c r="N5" s="7">
        <v>128</v>
      </c>
      <c r="O5" s="4" t="s">
        <v>1099</v>
      </c>
      <c r="P5" s="4"/>
      <c r="Q5" s="4" t="s">
        <v>1067</v>
      </c>
      <c r="R5" s="4" t="s">
        <v>6</v>
      </c>
      <c r="S5" s="4" t="s">
        <v>420</v>
      </c>
      <c r="T5" s="4" t="s">
        <v>141</v>
      </c>
      <c r="U5" s="4" t="s">
        <v>409</v>
      </c>
      <c r="V5" s="4" t="s">
        <v>148</v>
      </c>
      <c r="W5" s="4" t="s">
        <v>27</v>
      </c>
      <c r="X5" s="4"/>
      <c r="Y5" s="24"/>
    </row>
    <row r="6" spans="1:25">
      <c r="A6" s="29" t="s">
        <v>409</v>
      </c>
      <c r="B6" s="4" t="s">
        <v>141</v>
      </c>
      <c r="C6" s="4" t="s">
        <v>11</v>
      </c>
      <c r="D6" s="4" t="s">
        <v>144</v>
      </c>
      <c r="E6" s="198" t="s">
        <v>462</v>
      </c>
      <c r="F6" s="198" t="s">
        <v>463</v>
      </c>
      <c r="G6" s="4" t="s">
        <v>34</v>
      </c>
      <c r="H6" s="4" t="s">
        <v>150</v>
      </c>
      <c r="I6" s="92" t="s">
        <v>464</v>
      </c>
      <c r="J6" s="92" t="s">
        <v>465</v>
      </c>
      <c r="K6" s="4" t="s">
        <v>1</v>
      </c>
      <c r="L6" s="4" t="s">
        <v>1072</v>
      </c>
      <c r="M6" s="7">
        <v>16</v>
      </c>
      <c r="N6" s="7">
        <v>142</v>
      </c>
      <c r="O6" s="4" t="s">
        <v>1099</v>
      </c>
      <c r="P6" s="4"/>
      <c r="Q6" s="4" t="s">
        <v>1067</v>
      </c>
      <c r="R6" s="4" t="s">
        <v>6</v>
      </c>
      <c r="S6" s="4" t="s">
        <v>420</v>
      </c>
      <c r="T6" s="4" t="s">
        <v>141</v>
      </c>
      <c r="U6" s="4" t="s">
        <v>409</v>
      </c>
      <c r="V6" s="4" t="s">
        <v>148</v>
      </c>
      <c r="W6" s="4" t="s">
        <v>27</v>
      </c>
      <c r="X6" s="4"/>
      <c r="Y6" s="24"/>
    </row>
    <row r="7" spans="1:25">
      <c r="A7" s="29" t="s">
        <v>409</v>
      </c>
      <c r="B7" s="4" t="s">
        <v>141</v>
      </c>
      <c r="C7" s="4" t="s">
        <v>11</v>
      </c>
      <c r="D7" s="4" t="s">
        <v>144</v>
      </c>
      <c r="E7" s="198" t="s">
        <v>462</v>
      </c>
      <c r="F7" s="198" t="s">
        <v>463</v>
      </c>
      <c r="G7" s="4" t="s">
        <v>24</v>
      </c>
      <c r="H7" s="4" t="s">
        <v>151</v>
      </c>
      <c r="I7" s="92" t="s">
        <v>466</v>
      </c>
      <c r="J7" s="92" t="s">
        <v>467</v>
      </c>
      <c r="K7" s="4" t="s">
        <v>1</v>
      </c>
      <c r="L7" s="4" t="s">
        <v>1076</v>
      </c>
      <c r="M7" s="7">
        <v>7</v>
      </c>
      <c r="N7" s="7">
        <v>36</v>
      </c>
      <c r="O7" s="4" t="s">
        <v>1099</v>
      </c>
      <c r="P7" s="4"/>
      <c r="Q7" s="4" t="s">
        <v>1067</v>
      </c>
      <c r="R7" s="4" t="s">
        <v>6</v>
      </c>
      <c r="S7" s="4" t="s">
        <v>420</v>
      </c>
      <c r="T7" s="4" t="s">
        <v>141</v>
      </c>
      <c r="U7" s="4" t="s">
        <v>409</v>
      </c>
      <c r="V7" s="4" t="s">
        <v>148</v>
      </c>
      <c r="W7" s="4" t="s">
        <v>27</v>
      </c>
      <c r="X7" s="4"/>
      <c r="Y7" s="24"/>
    </row>
    <row r="8" spans="1:25">
      <c r="A8" s="29" t="s">
        <v>409</v>
      </c>
      <c r="B8" s="4" t="s">
        <v>141</v>
      </c>
      <c r="C8" s="4" t="s">
        <v>11</v>
      </c>
      <c r="D8" s="4" t="s">
        <v>144</v>
      </c>
      <c r="E8" s="198" t="s">
        <v>462</v>
      </c>
      <c r="F8" s="198" t="s">
        <v>463</v>
      </c>
      <c r="G8" s="4" t="s">
        <v>24</v>
      </c>
      <c r="H8" s="4" t="s">
        <v>151</v>
      </c>
      <c r="I8" s="92" t="s">
        <v>466</v>
      </c>
      <c r="J8" s="92" t="s">
        <v>467</v>
      </c>
      <c r="K8" s="4" t="s">
        <v>1</v>
      </c>
      <c r="L8" s="4" t="s">
        <v>1072</v>
      </c>
      <c r="M8" s="7">
        <v>29</v>
      </c>
      <c r="N8" s="7">
        <v>151</v>
      </c>
      <c r="O8" s="4" t="s">
        <v>1099</v>
      </c>
      <c r="P8" s="4"/>
      <c r="Q8" s="4" t="s">
        <v>1067</v>
      </c>
      <c r="R8" s="4" t="s">
        <v>6</v>
      </c>
      <c r="S8" s="4" t="s">
        <v>420</v>
      </c>
      <c r="T8" s="4" t="s">
        <v>141</v>
      </c>
      <c r="U8" s="4" t="s">
        <v>409</v>
      </c>
      <c r="V8" s="4" t="s">
        <v>148</v>
      </c>
      <c r="W8" s="4" t="s">
        <v>27</v>
      </c>
      <c r="X8" s="4"/>
      <c r="Y8" s="24"/>
    </row>
    <row r="9" spans="1:25">
      <c r="A9" s="29" t="s">
        <v>409</v>
      </c>
      <c r="B9" s="4" t="s">
        <v>141</v>
      </c>
      <c r="C9" s="4" t="s">
        <v>11</v>
      </c>
      <c r="D9" s="4" t="s">
        <v>144</v>
      </c>
      <c r="E9" s="198" t="s">
        <v>462</v>
      </c>
      <c r="F9" s="198" t="s">
        <v>463</v>
      </c>
      <c r="G9" s="4" t="s">
        <v>24</v>
      </c>
      <c r="H9" s="4" t="s">
        <v>151</v>
      </c>
      <c r="I9" s="92" t="s">
        <v>466</v>
      </c>
      <c r="J9" s="92" t="s">
        <v>467</v>
      </c>
      <c r="K9" s="4" t="s">
        <v>1</v>
      </c>
      <c r="L9" s="4" t="s">
        <v>1073</v>
      </c>
      <c r="M9" s="7">
        <v>35</v>
      </c>
      <c r="N9" s="7">
        <v>178</v>
      </c>
      <c r="O9" s="4" t="s">
        <v>1099</v>
      </c>
      <c r="P9" s="4"/>
      <c r="Q9" s="4" t="s">
        <v>1067</v>
      </c>
      <c r="R9" s="4" t="s">
        <v>6</v>
      </c>
      <c r="S9" s="4" t="s">
        <v>420</v>
      </c>
      <c r="T9" s="4" t="s">
        <v>141</v>
      </c>
      <c r="U9" s="4" t="s">
        <v>409</v>
      </c>
      <c r="V9" s="4" t="s">
        <v>148</v>
      </c>
      <c r="W9" s="4" t="s">
        <v>27</v>
      </c>
      <c r="X9" s="4"/>
      <c r="Y9" s="24"/>
    </row>
    <row r="10" spans="1:25">
      <c r="A10" s="29" t="s">
        <v>409</v>
      </c>
      <c r="B10" s="4" t="s">
        <v>141</v>
      </c>
      <c r="C10" s="4" t="s">
        <v>11</v>
      </c>
      <c r="D10" s="4" t="s">
        <v>144</v>
      </c>
      <c r="E10" s="198" t="s">
        <v>462</v>
      </c>
      <c r="F10" s="198" t="s">
        <v>463</v>
      </c>
      <c r="G10" s="4" t="s">
        <v>23</v>
      </c>
      <c r="H10" s="4" t="s">
        <v>155</v>
      </c>
      <c r="I10" s="92" t="s">
        <v>488</v>
      </c>
      <c r="J10" s="92" t="s">
        <v>489</v>
      </c>
      <c r="K10" s="4" t="s">
        <v>1</v>
      </c>
      <c r="L10" s="4" t="s">
        <v>1073</v>
      </c>
      <c r="M10" s="7">
        <v>20</v>
      </c>
      <c r="N10" s="7">
        <v>105</v>
      </c>
      <c r="O10" s="4" t="s">
        <v>1099</v>
      </c>
      <c r="P10" s="4"/>
      <c r="Q10" s="4" t="s">
        <v>1067</v>
      </c>
      <c r="R10" s="4" t="s">
        <v>6</v>
      </c>
      <c r="S10" s="4" t="s">
        <v>420</v>
      </c>
      <c r="T10" s="4" t="s">
        <v>141</v>
      </c>
      <c r="U10" s="4" t="s">
        <v>409</v>
      </c>
      <c r="V10" s="4" t="s">
        <v>145</v>
      </c>
      <c r="W10" s="4" t="s">
        <v>7</v>
      </c>
      <c r="X10" s="4"/>
      <c r="Y10" s="24"/>
    </row>
    <row r="11" spans="1:25">
      <c r="A11" s="29" t="s">
        <v>409</v>
      </c>
      <c r="B11" s="4" t="s">
        <v>141</v>
      </c>
      <c r="C11" s="4" t="s">
        <v>11</v>
      </c>
      <c r="D11" s="4" t="s">
        <v>144</v>
      </c>
      <c r="E11" s="198" t="s">
        <v>462</v>
      </c>
      <c r="F11" s="198" t="s">
        <v>463</v>
      </c>
      <c r="G11" s="4" t="s">
        <v>133</v>
      </c>
      <c r="H11" s="4" t="s">
        <v>152</v>
      </c>
      <c r="I11" s="92" t="s">
        <v>468</v>
      </c>
      <c r="J11" s="92" t="s">
        <v>469</v>
      </c>
      <c r="K11" s="4" t="s">
        <v>1</v>
      </c>
      <c r="L11" s="4" t="s">
        <v>1073</v>
      </c>
      <c r="M11" s="7">
        <v>386</v>
      </c>
      <c r="N11" s="7">
        <v>2696</v>
      </c>
      <c r="O11" s="4" t="s">
        <v>1099</v>
      </c>
      <c r="P11" s="4"/>
      <c r="Q11" s="4" t="s">
        <v>1067</v>
      </c>
      <c r="R11" s="4" t="s">
        <v>6</v>
      </c>
      <c r="S11" s="4" t="s">
        <v>420</v>
      </c>
      <c r="T11" s="4" t="s">
        <v>141</v>
      </c>
      <c r="U11" s="4" t="s">
        <v>409</v>
      </c>
      <c r="V11" s="4" t="s">
        <v>148</v>
      </c>
      <c r="W11" s="4" t="s">
        <v>27</v>
      </c>
      <c r="X11" s="4"/>
      <c r="Y11" s="24"/>
    </row>
    <row r="12" spans="1:25">
      <c r="A12" s="29" t="s">
        <v>409</v>
      </c>
      <c r="B12" s="4" t="s">
        <v>141</v>
      </c>
      <c r="C12" s="4" t="s">
        <v>11</v>
      </c>
      <c r="D12" s="4" t="s">
        <v>144</v>
      </c>
      <c r="E12" s="198" t="s">
        <v>462</v>
      </c>
      <c r="F12" s="198" t="s">
        <v>463</v>
      </c>
      <c r="G12" s="4" t="s">
        <v>12</v>
      </c>
      <c r="H12" s="4" t="s">
        <v>154</v>
      </c>
      <c r="I12" s="198" t="s">
        <v>516</v>
      </c>
      <c r="J12" s="198" t="s">
        <v>517</v>
      </c>
      <c r="K12" s="4" t="s">
        <v>1066</v>
      </c>
      <c r="L12" s="4" t="s">
        <v>1077</v>
      </c>
      <c r="M12" s="7">
        <v>5</v>
      </c>
      <c r="N12" s="7">
        <v>24</v>
      </c>
      <c r="O12" s="4"/>
      <c r="P12" s="4"/>
      <c r="Q12" s="4" t="s">
        <v>1070</v>
      </c>
      <c r="R12" s="4" t="s">
        <v>13</v>
      </c>
      <c r="S12" s="4" t="s">
        <v>507</v>
      </c>
      <c r="T12" s="4" t="s">
        <v>404</v>
      </c>
      <c r="U12" s="4"/>
      <c r="V12" s="4"/>
      <c r="W12" s="4"/>
      <c r="X12" s="4"/>
      <c r="Y12" s="24"/>
    </row>
    <row r="13" spans="1:25">
      <c r="A13" s="29" t="s">
        <v>409</v>
      </c>
      <c r="B13" s="4" t="s">
        <v>141</v>
      </c>
      <c r="C13" s="4" t="s">
        <v>11</v>
      </c>
      <c r="D13" s="4" t="s">
        <v>144</v>
      </c>
      <c r="E13" s="198" t="s">
        <v>462</v>
      </c>
      <c r="F13" s="198" t="s">
        <v>463</v>
      </c>
      <c r="G13" s="4" t="s">
        <v>12</v>
      </c>
      <c r="H13" s="4" t="s">
        <v>154</v>
      </c>
      <c r="I13" s="198" t="s">
        <v>516</v>
      </c>
      <c r="J13" s="198" t="s">
        <v>517</v>
      </c>
      <c r="K13" s="4" t="s">
        <v>1066</v>
      </c>
      <c r="L13" s="4" t="s">
        <v>1073</v>
      </c>
      <c r="M13" s="7">
        <v>26</v>
      </c>
      <c r="N13" s="7">
        <v>144</v>
      </c>
      <c r="O13" s="4"/>
      <c r="P13" s="4"/>
      <c r="Q13" s="4" t="s">
        <v>1070</v>
      </c>
      <c r="R13" s="4" t="s">
        <v>403</v>
      </c>
      <c r="S13" s="4" t="s">
        <v>502</v>
      </c>
      <c r="T13" s="4" t="s">
        <v>1224</v>
      </c>
      <c r="U13" s="4"/>
      <c r="V13" s="4"/>
      <c r="W13" s="4"/>
      <c r="X13" s="4"/>
      <c r="Y13" s="24"/>
    </row>
    <row r="14" spans="1:25">
      <c r="A14" s="29" t="s">
        <v>409</v>
      </c>
      <c r="B14" s="4" t="s">
        <v>141</v>
      </c>
      <c r="C14" s="4" t="s">
        <v>7</v>
      </c>
      <c r="D14" s="4" t="s">
        <v>145</v>
      </c>
      <c r="E14" s="198" t="s">
        <v>416</v>
      </c>
      <c r="F14" s="198" t="s">
        <v>417</v>
      </c>
      <c r="G14" s="4" t="s">
        <v>18</v>
      </c>
      <c r="H14" s="4" t="s">
        <v>158</v>
      </c>
      <c r="I14" s="92" t="s">
        <v>418</v>
      </c>
      <c r="J14" s="92" t="s">
        <v>419</v>
      </c>
      <c r="K14" s="4" t="s">
        <v>1</v>
      </c>
      <c r="L14" s="4" t="s">
        <v>1074</v>
      </c>
      <c r="M14" s="7">
        <v>186</v>
      </c>
      <c r="N14" s="7">
        <v>1783</v>
      </c>
      <c r="O14" s="4" t="s">
        <v>1078</v>
      </c>
      <c r="P14" s="4"/>
      <c r="Q14" s="4" t="s">
        <v>1068</v>
      </c>
      <c r="R14" s="4" t="s">
        <v>6</v>
      </c>
      <c r="S14" s="4" t="s">
        <v>420</v>
      </c>
      <c r="T14" s="4" t="s">
        <v>141</v>
      </c>
      <c r="U14" s="4" t="s">
        <v>409</v>
      </c>
      <c r="V14" s="4" t="s">
        <v>145</v>
      </c>
      <c r="W14" s="4" t="s">
        <v>7</v>
      </c>
      <c r="X14" s="4"/>
      <c r="Y14" s="24"/>
    </row>
    <row r="15" spans="1:25">
      <c r="A15" s="29" t="s">
        <v>409</v>
      </c>
      <c r="B15" s="4" t="s">
        <v>141</v>
      </c>
      <c r="C15" s="4" t="s">
        <v>7</v>
      </c>
      <c r="D15" s="4" t="s">
        <v>145</v>
      </c>
      <c r="E15" s="198" t="s">
        <v>416</v>
      </c>
      <c r="F15" s="198" t="s">
        <v>417</v>
      </c>
      <c r="G15" s="4" t="s">
        <v>18</v>
      </c>
      <c r="H15" s="4" t="s">
        <v>158</v>
      </c>
      <c r="I15" s="92" t="s">
        <v>418</v>
      </c>
      <c r="J15" s="92" t="s">
        <v>419</v>
      </c>
      <c r="K15" s="4" t="s">
        <v>1</v>
      </c>
      <c r="L15" s="4" t="s">
        <v>1072</v>
      </c>
      <c r="M15" s="7">
        <v>212</v>
      </c>
      <c r="N15" s="7">
        <v>2274</v>
      </c>
      <c r="O15" s="4" t="s">
        <v>1099</v>
      </c>
      <c r="P15" s="4"/>
      <c r="Q15" s="4" t="s">
        <v>1069</v>
      </c>
      <c r="R15" s="4" t="s">
        <v>6</v>
      </c>
      <c r="S15" s="4" t="s">
        <v>420</v>
      </c>
      <c r="T15" s="4" t="s">
        <v>141</v>
      </c>
      <c r="U15" s="4" t="s">
        <v>409</v>
      </c>
      <c r="V15" s="4" t="s">
        <v>145</v>
      </c>
      <c r="W15" s="4" t="s">
        <v>7</v>
      </c>
      <c r="X15" s="4" t="s">
        <v>164</v>
      </c>
      <c r="Y15" s="24" t="s">
        <v>21</v>
      </c>
    </row>
    <row r="16" spans="1:25">
      <c r="A16" s="29" t="s">
        <v>409</v>
      </c>
      <c r="B16" s="4" t="s">
        <v>141</v>
      </c>
      <c r="C16" s="4" t="s">
        <v>7</v>
      </c>
      <c r="D16" s="4" t="s">
        <v>145</v>
      </c>
      <c r="E16" s="198" t="s">
        <v>416</v>
      </c>
      <c r="F16" s="198" t="s">
        <v>417</v>
      </c>
      <c r="G16" s="4" t="s">
        <v>18</v>
      </c>
      <c r="H16" s="4" t="s">
        <v>158</v>
      </c>
      <c r="I16" s="92" t="s">
        <v>418</v>
      </c>
      <c r="J16" s="92" t="s">
        <v>419</v>
      </c>
      <c r="K16" s="4" t="s">
        <v>1</v>
      </c>
      <c r="L16" s="4" t="s">
        <v>1073</v>
      </c>
      <c r="M16" s="7">
        <v>586</v>
      </c>
      <c r="N16" s="7">
        <v>2831</v>
      </c>
      <c r="O16" s="4" t="s">
        <v>1099</v>
      </c>
      <c r="P16" s="4"/>
      <c r="Q16" s="4" t="s">
        <v>1069</v>
      </c>
      <c r="R16" s="4" t="s">
        <v>6</v>
      </c>
      <c r="S16" s="4" t="s">
        <v>420</v>
      </c>
      <c r="T16" s="4" t="s">
        <v>141</v>
      </c>
      <c r="U16" s="4" t="s">
        <v>409</v>
      </c>
      <c r="V16" s="4" t="s">
        <v>145</v>
      </c>
      <c r="W16" s="4" t="s">
        <v>7</v>
      </c>
      <c r="X16" s="4" t="s">
        <v>164</v>
      </c>
      <c r="Y16" s="24" t="s">
        <v>21</v>
      </c>
    </row>
    <row r="17" spans="1:25">
      <c r="A17" s="29" t="s">
        <v>409</v>
      </c>
      <c r="B17" s="4" t="s">
        <v>141</v>
      </c>
      <c r="C17" s="4" t="s">
        <v>7</v>
      </c>
      <c r="D17" s="4" t="s">
        <v>145</v>
      </c>
      <c r="E17" s="198" t="s">
        <v>416</v>
      </c>
      <c r="F17" s="198" t="s">
        <v>417</v>
      </c>
      <c r="G17" s="4" t="s">
        <v>15</v>
      </c>
      <c r="H17" s="4" t="s">
        <v>163</v>
      </c>
      <c r="I17" s="92" t="s">
        <v>444</v>
      </c>
      <c r="J17" s="92" t="s">
        <v>445</v>
      </c>
      <c r="K17" s="4" t="s">
        <v>1</v>
      </c>
      <c r="L17" s="4" t="s">
        <v>1075</v>
      </c>
      <c r="M17" s="7">
        <v>504</v>
      </c>
      <c r="N17" s="7">
        <v>2520</v>
      </c>
      <c r="O17" s="4" t="s">
        <v>1099</v>
      </c>
      <c r="P17" s="4"/>
      <c r="Q17" s="4" t="s">
        <v>1068</v>
      </c>
      <c r="R17" s="4" t="s">
        <v>6</v>
      </c>
      <c r="S17" s="4" t="s">
        <v>420</v>
      </c>
      <c r="T17" s="4" t="s">
        <v>141</v>
      </c>
      <c r="U17" s="4" t="s">
        <v>409</v>
      </c>
      <c r="V17" s="4" t="s">
        <v>145</v>
      </c>
      <c r="W17" s="4" t="s">
        <v>7</v>
      </c>
      <c r="X17" s="4"/>
      <c r="Y17" s="24"/>
    </row>
    <row r="18" spans="1:25">
      <c r="A18" s="29" t="s">
        <v>409</v>
      </c>
      <c r="B18" s="4" t="s">
        <v>141</v>
      </c>
      <c r="C18" s="4" t="s">
        <v>7</v>
      </c>
      <c r="D18" s="4" t="s">
        <v>145</v>
      </c>
      <c r="E18" s="198" t="s">
        <v>416</v>
      </c>
      <c r="F18" s="198" t="s">
        <v>417</v>
      </c>
      <c r="G18" s="4" t="s">
        <v>15</v>
      </c>
      <c r="H18" s="4" t="s">
        <v>163</v>
      </c>
      <c r="I18" s="92" t="s">
        <v>444</v>
      </c>
      <c r="J18" s="92" t="s">
        <v>445</v>
      </c>
      <c r="K18" s="4" t="s">
        <v>1</v>
      </c>
      <c r="L18" s="4" t="s">
        <v>1076</v>
      </c>
      <c r="M18" s="7">
        <v>297</v>
      </c>
      <c r="N18" s="7">
        <v>1485</v>
      </c>
      <c r="O18" s="4" t="s">
        <v>1099</v>
      </c>
      <c r="P18" s="4"/>
      <c r="Q18" s="4" t="s">
        <v>1068</v>
      </c>
      <c r="R18" s="4" t="s">
        <v>6</v>
      </c>
      <c r="S18" s="4" t="s">
        <v>420</v>
      </c>
      <c r="T18" s="4" t="s">
        <v>141</v>
      </c>
      <c r="U18" s="4" t="s">
        <v>409</v>
      </c>
      <c r="V18" s="4" t="s">
        <v>145</v>
      </c>
      <c r="W18" s="4" t="s">
        <v>7</v>
      </c>
      <c r="X18" s="4"/>
      <c r="Y18" s="24"/>
    </row>
    <row r="19" spans="1:25">
      <c r="A19" s="29" t="s">
        <v>409</v>
      </c>
      <c r="B19" s="4" t="s">
        <v>141</v>
      </c>
      <c r="C19" s="4" t="s">
        <v>7</v>
      </c>
      <c r="D19" s="4" t="s">
        <v>145</v>
      </c>
      <c r="E19" s="198" t="s">
        <v>416</v>
      </c>
      <c r="F19" s="198" t="s">
        <v>417</v>
      </c>
      <c r="G19" s="4" t="s">
        <v>15</v>
      </c>
      <c r="H19" s="4" t="s">
        <v>163</v>
      </c>
      <c r="I19" s="92" t="s">
        <v>444</v>
      </c>
      <c r="J19" s="92" t="s">
        <v>445</v>
      </c>
      <c r="K19" s="4" t="s">
        <v>1</v>
      </c>
      <c r="L19" s="4" t="s">
        <v>1072</v>
      </c>
      <c r="M19" s="7">
        <v>386</v>
      </c>
      <c r="N19" s="7">
        <v>1930</v>
      </c>
      <c r="O19" s="4" t="s">
        <v>1099</v>
      </c>
      <c r="P19" s="4"/>
      <c r="Q19" s="4" t="s">
        <v>1068</v>
      </c>
      <c r="R19" s="4" t="s">
        <v>6</v>
      </c>
      <c r="S19" s="4" t="s">
        <v>420</v>
      </c>
      <c r="T19" s="4" t="s">
        <v>141</v>
      </c>
      <c r="U19" s="4" t="s">
        <v>409</v>
      </c>
      <c r="V19" s="4" t="s">
        <v>145</v>
      </c>
      <c r="W19" s="4" t="s">
        <v>7</v>
      </c>
      <c r="X19" s="4"/>
      <c r="Y19" s="24"/>
    </row>
    <row r="20" spans="1:25">
      <c r="A20" s="29" t="s">
        <v>409</v>
      </c>
      <c r="B20" s="4" t="s">
        <v>141</v>
      </c>
      <c r="C20" s="4" t="s">
        <v>7</v>
      </c>
      <c r="D20" s="4" t="s">
        <v>145</v>
      </c>
      <c r="E20" s="198" t="s">
        <v>416</v>
      </c>
      <c r="F20" s="198" t="s">
        <v>417</v>
      </c>
      <c r="G20" s="4" t="s">
        <v>15</v>
      </c>
      <c r="H20" s="4" t="s">
        <v>163</v>
      </c>
      <c r="I20" s="92" t="s">
        <v>444</v>
      </c>
      <c r="J20" s="92" t="s">
        <v>445</v>
      </c>
      <c r="K20" s="4" t="s">
        <v>1</v>
      </c>
      <c r="L20" s="4" t="s">
        <v>1074</v>
      </c>
      <c r="M20" s="7">
        <v>628</v>
      </c>
      <c r="N20" s="7">
        <v>3140</v>
      </c>
      <c r="O20" s="4" t="s">
        <v>1078</v>
      </c>
      <c r="P20" s="4"/>
      <c r="Q20" s="4" t="s">
        <v>1067</v>
      </c>
      <c r="R20" s="4" t="s">
        <v>6</v>
      </c>
      <c r="S20" s="4" t="s">
        <v>420</v>
      </c>
      <c r="T20" s="4" t="s">
        <v>141</v>
      </c>
      <c r="U20" s="4" t="s">
        <v>409</v>
      </c>
      <c r="V20" s="4" t="s">
        <v>146</v>
      </c>
      <c r="W20" s="4" t="s">
        <v>10</v>
      </c>
      <c r="X20" s="4"/>
      <c r="Y20" s="24"/>
    </row>
    <row r="21" spans="1:25">
      <c r="A21" s="29" t="s">
        <v>409</v>
      </c>
      <c r="B21" s="4" t="s">
        <v>141</v>
      </c>
      <c r="C21" s="4" t="s">
        <v>7</v>
      </c>
      <c r="D21" s="4" t="s">
        <v>145</v>
      </c>
      <c r="E21" s="198" t="s">
        <v>416</v>
      </c>
      <c r="F21" s="198" t="s">
        <v>417</v>
      </c>
      <c r="G21" s="4" t="s">
        <v>15</v>
      </c>
      <c r="H21" s="4" t="s">
        <v>163</v>
      </c>
      <c r="I21" s="92" t="s">
        <v>444</v>
      </c>
      <c r="J21" s="92" t="s">
        <v>445</v>
      </c>
      <c r="K21" s="4" t="s">
        <v>1</v>
      </c>
      <c r="L21" s="4" t="s">
        <v>1073</v>
      </c>
      <c r="M21" s="7">
        <v>209</v>
      </c>
      <c r="N21" s="7">
        <v>1045</v>
      </c>
      <c r="O21" s="4" t="s">
        <v>1099</v>
      </c>
      <c r="P21" s="4"/>
      <c r="Q21" s="4" t="s">
        <v>1068</v>
      </c>
      <c r="R21" s="4" t="s">
        <v>6</v>
      </c>
      <c r="S21" s="4" t="s">
        <v>420</v>
      </c>
      <c r="T21" s="4" t="s">
        <v>141</v>
      </c>
      <c r="U21" s="4" t="s">
        <v>409</v>
      </c>
      <c r="V21" s="4" t="s">
        <v>145</v>
      </c>
      <c r="W21" s="4" t="s">
        <v>7</v>
      </c>
      <c r="X21" s="4"/>
      <c r="Y21" s="24"/>
    </row>
    <row r="22" spans="1:25">
      <c r="A22" s="29" t="s">
        <v>409</v>
      </c>
      <c r="B22" s="4" t="s">
        <v>141</v>
      </c>
      <c r="C22" s="4" t="s">
        <v>7</v>
      </c>
      <c r="D22" s="4" t="s">
        <v>145</v>
      </c>
      <c r="E22" s="198" t="s">
        <v>416</v>
      </c>
      <c r="F22" s="198" t="s">
        <v>417</v>
      </c>
      <c r="G22" s="4" t="s">
        <v>21</v>
      </c>
      <c r="H22" s="4" t="s">
        <v>164</v>
      </c>
      <c r="I22" s="92" t="s">
        <v>490</v>
      </c>
      <c r="J22" s="92" t="s">
        <v>491</v>
      </c>
      <c r="K22" s="4" t="s">
        <v>1</v>
      </c>
      <c r="L22" s="4" t="s">
        <v>1077</v>
      </c>
      <c r="M22" s="7">
        <v>70</v>
      </c>
      <c r="N22" s="7">
        <v>350</v>
      </c>
      <c r="O22" s="4" t="s">
        <v>1099</v>
      </c>
      <c r="P22" s="4"/>
      <c r="Q22" s="4" t="s">
        <v>1068</v>
      </c>
      <c r="R22" s="4" t="s">
        <v>6</v>
      </c>
      <c r="S22" s="4" t="s">
        <v>420</v>
      </c>
      <c r="T22" s="4" t="s">
        <v>141</v>
      </c>
      <c r="U22" s="4" t="s">
        <v>409</v>
      </c>
      <c r="V22" s="4" t="s">
        <v>145</v>
      </c>
      <c r="W22" s="4" t="s">
        <v>7</v>
      </c>
      <c r="X22" s="4"/>
      <c r="Y22" s="24"/>
    </row>
    <row r="23" spans="1:25">
      <c r="A23" s="29" t="s">
        <v>409</v>
      </c>
      <c r="B23" s="4" t="s">
        <v>141</v>
      </c>
      <c r="C23" s="4" t="s">
        <v>7</v>
      </c>
      <c r="D23" s="4" t="s">
        <v>145</v>
      </c>
      <c r="E23" s="198" t="s">
        <v>416</v>
      </c>
      <c r="F23" s="198" t="s">
        <v>417</v>
      </c>
      <c r="G23" s="4" t="s">
        <v>21</v>
      </c>
      <c r="H23" s="4" t="s">
        <v>164</v>
      </c>
      <c r="I23" s="92" t="s">
        <v>490</v>
      </c>
      <c r="J23" s="92" t="s">
        <v>491</v>
      </c>
      <c r="K23" s="4" t="s">
        <v>1</v>
      </c>
      <c r="L23" s="4" t="s">
        <v>1075</v>
      </c>
      <c r="M23" s="7">
        <v>725</v>
      </c>
      <c r="N23" s="7">
        <v>3625</v>
      </c>
      <c r="O23" s="4" t="s">
        <v>1099</v>
      </c>
      <c r="P23" s="4"/>
      <c r="Q23" s="4" t="s">
        <v>1068</v>
      </c>
      <c r="R23" s="4" t="s">
        <v>6</v>
      </c>
      <c r="S23" s="4" t="s">
        <v>420</v>
      </c>
      <c r="T23" s="4" t="s">
        <v>141</v>
      </c>
      <c r="U23" s="4" t="s">
        <v>409</v>
      </c>
      <c r="V23" s="4" t="s">
        <v>145</v>
      </c>
      <c r="W23" s="4" t="s">
        <v>7</v>
      </c>
      <c r="X23" s="4"/>
      <c r="Y23" s="24"/>
    </row>
    <row r="24" spans="1:25">
      <c r="A24" s="29" t="s">
        <v>409</v>
      </c>
      <c r="B24" s="4" t="s">
        <v>141</v>
      </c>
      <c r="C24" s="4" t="s">
        <v>7</v>
      </c>
      <c r="D24" s="4" t="s">
        <v>145</v>
      </c>
      <c r="E24" s="198" t="s">
        <v>416</v>
      </c>
      <c r="F24" s="198" t="s">
        <v>417</v>
      </c>
      <c r="G24" s="4" t="s">
        <v>21</v>
      </c>
      <c r="H24" s="4" t="s">
        <v>164</v>
      </c>
      <c r="I24" s="92" t="s">
        <v>490</v>
      </c>
      <c r="J24" s="92" t="s">
        <v>491</v>
      </c>
      <c r="K24" s="4" t="s">
        <v>1</v>
      </c>
      <c r="L24" s="4" t="s">
        <v>1076</v>
      </c>
      <c r="M24" s="7">
        <v>268</v>
      </c>
      <c r="N24" s="7">
        <v>1340</v>
      </c>
      <c r="O24" s="4" t="s">
        <v>1099</v>
      </c>
      <c r="P24" s="4"/>
      <c r="Q24" s="4" t="s">
        <v>1068</v>
      </c>
      <c r="R24" s="4" t="s">
        <v>6</v>
      </c>
      <c r="S24" s="4" t="s">
        <v>420</v>
      </c>
      <c r="T24" s="4" t="s">
        <v>141</v>
      </c>
      <c r="U24" s="4" t="s">
        <v>409</v>
      </c>
      <c r="V24" s="4" t="s">
        <v>145</v>
      </c>
      <c r="W24" s="4" t="s">
        <v>7</v>
      </c>
      <c r="X24" s="4"/>
      <c r="Y24" s="24"/>
    </row>
    <row r="25" spans="1:25">
      <c r="A25" s="29" t="s">
        <v>409</v>
      </c>
      <c r="B25" s="4" t="s">
        <v>141</v>
      </c>
      <c r="C25" s="4" t="s">
        <v>7</v>
      </c>
      <c r="D25" s="4" t="s">
        <v>145</v>
      </c>
      <c r="E25" s="198" t="s">
        <v>416</v>
      </c>
      <c r="F25" s="198" t="s">
        <v>417</v>
      </c>
      <c r="G25" s="4" t="s">
        <v>21</v>
      </c>
      <c r="H25" s="4" t="s">
        <v>164</v>
      </c>
      <c r="I25" s="92" t="s">
        <v>490</v>
      </c>
      <c r="J25" s="92" t="s">
        <v>491</v>
      </c>
      <c r="K25" s="4" t="s">
        <v>1</v>
      </c>
      <c r="L25" s="4" t="s">
        <v>1072</v>
      </c>
      <c r="M25" s="7">
        <v>200</v>
      </c>
      <c r="N25" s="7">
        <v>1000</v>
      </c>
      <c r="O25" s="4" t="s">
        <v>1099</v>
      </c>
      <c r="P25" s="4"/>
      <c r="Q25" s="4" t="s">
        <v>1068</v>
      </c>
      <c r="R25" s="4" t="s">
        <v>6</v>
      </c>
      <c r="S25" s="4" t="s">
        <v>420</v>
      </c>
      <c r="T25" s="4" t="s">
        <v>141</v>
      </c>
      <c r="U25" s="4" t="s">
        <v>409</v>
      </c>
      <c r="V25" s="4" t="s">
        <v>145</v>
      </c>
      <c r="W25" s="4" t="s">
        <v>7</v>
      </c>
      <c r="X25" s="4"/>
      <c r="Y25" s="24"/>
    </row>
    <row r="26" spans="1:25">
      <c r="A26" s="29" t="s">
        <v>409</v>
      </c>
      <c r="B26" s="4" t="s">
        <v>141</v>
      </c>
      <c r="C26" s="4" t="s">
        <v>7</v>
      </c>
      <c r="D26" s="4" t="s">
        <v>145</v>
      </c>
      <c r="E26" s="198" t="s">
        <v>416</v>
      </c>
      <c r="F26" s="198" t="s">
        <v>417</v>
      </c>
      <c r="G26" s="4" t="s">
        <v>21</v>
      </c>
      <c r="H26" s="4" t="s">
        <v>164</v>
      </c>
      <c r="I26" s="92" t="s">
        <v>490</v>
      </c>
      <c r="J26" s="92" t="s">
        <v>491</v>
      </c>
      <c r="K26" s="4" t="s">
        <v>1</v>
      </c>
      <c r="L26" s="4" t="s">
        <v>1073</v>
      </c>
      <c r="M26" s="7">
        <v>1007</v>
      </c>
      <c r="N26" s="7">
        <v>5035</v>
      </c>
      <c r="O26" s="4" t="s">
        <v>1099</v>
      </c>
      <c r="P26" s="4"/>
      <c r="Q26" s="4" t="s">
        <v>1068</v>
      </c>
      <c r="R26" s="4" t="s">
        <v>6</v>
      </c>
      <c r="S26" s="4" t="s">
        <v>420</v>
      </c>
      <c r="T26" s="4" t="s">
        <v>141</v>
      </c>
      <c r="U26" s="4" t="s">
        <v>409</v>
      </c>
      <c r="V26" s="4" t="s">
        <v>145</v>
      </c>
      <c r="W26" s="4" t="s">
        <v>7</v>
      </c>
      <c r="X26" s="4"/>
      <c r="Y26" s="24"/>
    </row>
    <row r="27" spans="1:25">
      <c r="A27" s="29" t="s">
        <v>409</v>
      </c>
      <c r="B27" s="4" t="s">
        <v>141</v>
      </c>
      <c r="C27" s="4" t="s">
        <v>7</v>
      </c>
      <c r="D27" s="4" t="s">
        <v>145</v>
      </c>
      <c r="E27" s="198" t="s">
        <v>416</v>
      </c>
      <c r="F27" s="198" t="s">
        <v>417</v>
      </c>
      <c r="G27" s="4" t="s">
        <v>19</v>
      </c>
      <c r="H27" s="4" t="s">
        <v>157</v>
      </c>
      <c r="I27" s="92" t="s">
        <v>421</v>
      </c>
      <c r="J27" s="92" t="s">
        <v>422</v>
      </c>
      <c r="K27" s="4" t="s">
        <v>1</v>
      </c>
      <c r="L27" s="4" t="s">
        <v>1076</v>
      </c>
      <c r="M27" s="7">
        <v>220</v>
      </c>
      <c r="N27" s="7">
        <v>994</v>
      </c>
      <c r="O27" s="4" t="s">
        <v>1099</v>
      </c>
      <c r="P27" s="4"/>
      <c r="Q27" s="4" t="s">
        <v>1069</v>
      </c>
      <c r="R27" s="4" t="s">
        <v>6</v>
      </c>
      <c r="S27" s="4" t="s">
        <v>420</v>
      </c>
      <c r="T27" s="4" t="s">
        <v>141</v>
      </c>
      <c r="U27" s="4" t="s">
        <v>409</v>
      </c>
      <c r="V27" s="4" t="s">
        <v>145</v>
      </c>
      <c r="W27" s="4" t="s">
        <v>7</v>
      </c>
      <c r="X27" s="4" t="s">
        <v>164</v>
      </c>
      <c r="Y27" s="24" t="s">
        <v>21</v>
      </c>
    </row>
    <row r="28" spans="1:25">
      <c r="A28" s="29" t="s">
        <v>409</v>
      </c>
      <c r="B28" s="4" t="s">
        <v>141</v>
      </c>
      <c r="C28" s="4" t="s">
        <v>7</v>
      </c>
      <c r="D28" s="4" t="s">
        <v>145</v>
      </c>
      <c r="E28" s="198" t="s">
        <v>416</v>
      </c>
      <c r="F28" s="198" t="s">
        <v>417</v>
      </c>
      <c r="G28" s="4" t="s">
        <v>19</v>
      </c>
      <c r="H28" s="4" t="s">
        <v>157</v>
      </c>
      <c r="I28" s="92" t="s">
        <v>421</v>
      </c>
      <c r="J28" s="92" t="s">
        <v>422</v>
      </c>
      <c r="K28" s="4" t="s">
        <v>1</v>
      </c>
      <c r="L28" s="4" t="s">
        <v>1072</v>
      </c>
      <c r="M28" s="7">
        <v>127</v>
      </c>
      <c r="N28" s="7">
        <v>635</v>
      </c>
      <c r="O28" s="4" t="s">
        <v>1099</v>
      </c>
      <c r="P28" s="4"/>
      <c r="Q28" s="4" t="s">
        <v>1069</v>
      </c>
      <c r="R28" s="4" t="s">
        <v>6</v>
      </c>
      <c r="S28" s="4" t="s">
        <v>420</v>
      </c>
      <c r="T28" s="4" t="s">
        <v>141</v>
      </c>
      <c r="U28" s="4" t="s">
        <v>409</v>
      </c>
      <c r="V28" s="4" t="s">
        <v>145</v>
      </c>
      <c r="W28" s="4" t="s">
        <v>7</v>
      </c>
      <c r="X28" s="4" t="s">
        <v>164</v>
      </c>
      <c r="Y28" s="24" t="s">
        <v>21</v>
      </c>
    </row>
    <row r="29" spans="1:25">
      <c r="A29" s="29" t="s">
        <v>409</v>
      </c>
      <c r="B29" s="4" t="s">
        <v>141</v>
      </c>
      <c r="C29" s="4" t="s">
        <v>7</v>
      </c>
      <c r="D29" s="4" t="s">
        <v>145</v>
      </c>
      <c r="E29" s="198" t="s">
        <v>416</v>
      </c>
      <c r="F29" s="198" t="s">
        <v>417</v>
      </c>
      <c r="G29" s="4" t="s">
        <v>19</v>
      </c>
      <c r="H29" s="4" t="s">
        <v>157</v>
      </c>
      <c r="I29" s="92" t="s">
        <v>421</v>
      </c>
      <c r="J29" s="92" t="s">
        <v>422</v>
      </c>
      <c r="K29" s="4" t="s">
        <v>1</v>
      </c>
      <c r="L29" s="4" t="s">
        <v>1073</v>
      </c>
      <c r="M29" s="7">
        <v>120</v>
      </c>
      <c r="N29" s="7">
        <v>600</v>
      </c>
      <c r="O29" s="4" t="s">
        <v>1099</v>
      </c>
      <c r="P29" s="4"/>
      <c r="Q29" s="4" t="s">
        <v>1069</v>
      </c>
      <c r="R29" s="4" t="s">
        <v>6</v>
      </c>
      <c r="S29" s="4" t="s">
        <v>420</v>
      </c>
      <c r="T29" s="4" t="s">
        <v>141</v>
      </c>
      <c r="U29" s="4" t="s">
        <v>409</v>
      </c>
      <c r="V29" s="4" t="s">
        <v>145</v>
      </c>
      <c r="W29" s="4" t="s">
        <v>7</v>
      </c>
      <c r="X29" s="4" t="s">
        <v>164</v>
      </c>
      <c r="Y29" s="24" t="s">
        <v>21</v>
      </c>
    </row>
    <row r="30" spans="1:25">
      <c r="A30" s="29" t="s">
        <v>409</v>
      </c>
      <c r="B30" s="4" t="s">
        <v>141</v>
      </c>
      <c r="C30" s="4" t="s">
        <v>7</v>
      </c>
      <c r="D30" s="4" t="s">
        <v>145</v>
      </c>
      <c r="E30" s="198" t="s">
        <v>416</v>
      </c>
      <c r="F30" s="198" t="s">
        <v>417</v>
      </c>
      <c r="G30" s="4" t="s">
        <v>135</v>
      </c>
      <c r="H30" s="4" t="s">
        <v>166</v>
      </c>
      <c r="I30" s="92" t="s">
        <v>441</v>
      </c>
      <c r="J30" s="92" t="s">
        <v>442</v>
      </c>
      <c r="K30" s="4" t="s">
        <v>1</v>
      </c>
      <c r="L30" s="4" t="s">
        <v>1077</v>
      </c>
      <c r="M30" s="7">
        <v>253</v>
      </c>
      <c r="N30" s="7">
        <v>1282</v>
      </c>
      <c r="O30" s="4" t="s">
        <v>1099</v>
      </c>
      <c r="P30" s="4"/>
      <c r="Q30" s="4" t="s">
        <v>1068</v>
      </c>
      <c r="R30" s="4" t="s">
        <v>6</v>
      </c>
      <c r="S30" s="4" t="s">
        <v>420</v>
      </c>
      <c r="T30" s="4" t="s">
        <v>141</v>
      </c>
      <c r="U30" s="4" t="s">
        <v>409</v>
      </c>
      <c r="V30" s="4" t="s">
        <v>145</v>
      </c>
      <c r="W30" s="4" t="s">
        <v>7</v>
      </c>
      <c r="X30" s="4"/>
      <c r="Y30" s="24"/>
    </row>
    <row r="31" spans="1:25">
      <c r="A31" s="29" t="s">
        <v>409</v>
      </c>
      <c r="B31" s="4" t="s">
        <v>141</v>
      </c>
      <c r="C31" s="4" t="s">
        <v>7</v>
      </c>
      <c r="D31" s="4" t="s">
        <v>145</v>
      </c>
      <c r="E31" s="198" t="s">
        <v>416</v>
      </c>
      <c r="F31" s="198" t="s">
        <v>417</v>
      </c>
      <c r="G31" s="4" t="s">
        <v>135</v>
      </c>
      <c r="H31" s="4" t="s">
        <v>166</v>
      </c>
      <c r="I31" s="92" t="s">
        <v>441</v>
      </c>
      <c r="J31" s="92" t="s">
        <v>442</v>
      </c>
      <c r="K31" s="4" t="s">
        <v>1</v>
      </c>
      <c r="L31" s="4" t="s">
        <v>1075</v>
      </c>
      <c r="M31" s="7">
        <v>70</v>
      </c>
      <c r="N31" s="7">
        <v>602</v>
      </c>
      <c r="O31" s="4" t="s">
        <v>1099</v>
      </c>
      <c r="P31" s="4"/>
      <c r="Q31" s="4" t="s">
        <v>1068</v>
      </c>
      <c r="R31" s="4" t="s">
        <v>6</v>
      </c>
      <c r="S31" s="4" t="s">
        <v>420</v>
      </c>
      <c r="T31" s="4" t="s">
        <v>141</v>
      </c>
      <c r="U31" s="4" t="s">
        <v>409</v>
      </c>
      <c r="V31" s="4" t="s">
        <v>145</v>
      </c>
      <c r="W31" s="4" t="s">
        <v>7</v>
      </c>
      <c r="X31" s="4"/>
      <c r="Y31" s="24"/>
    </row>
    <row r="32" spans="1:25">
      <c r="A32" s="29" t="s">
        <v>409</v>
      </c>
      <c r="B32" s="4" t="s">
        <v>141</v>
      </c>
      <c r="C32" s="4" t="s">
        <v>7</v>
      </c>
      <c r="D32" s="4" t="s">
        <v>145</v>
      </c>
      <c r="E32" s="198" t="s">
        <v>416</v>
      </c>
      <c r="F32" s="198" t="s">
        <v>417</v>
      </c>
      <c r="G32" s="4" t="s">
        <v>135</v>
      </c>
      <c r="H32" s="4" t="s">
        <v>166</v>
      </c>
      <c r="I32" s="92" t="s">
        <v>441</v>
      </c>
      <c r="J32" s="92" t="s">
        <v>442</v>
      </c>
      <c r="K32" s="4" t="s">
        <v>1</v>
      </c>
      <c r="L32" s="4" t="s">
        <v>1072</v>
      </c>
      <c r="M32" s="7">
        <v>540</v>
      </c>
      <c r="N32" s="7">
        <v>3476</v>
      </c>
      <c r="O32" s="4" t="s">
        <v>1099</v>
      </c>
      <c r="P32" s="4"/>
      <c r="Q32" s="4" t="s">
        <v>1068</v>
      </c>
      <c r="R32" s="4" t="s">
        <v>6</v>
      </c>
      <c r="S32" s="4" t="s">
        <v>420</v>
      </c>
      <c r="T32" s="4" t="s">
        <v>141</v>
      </c>
      <c r="U32" s="4" t="s">
        <v>409</v>
      </c>
      <c r="V32" s="4" t="s">
        <v>145</v>
      </c>
      <c r="W32" s="4" t="s">
        <v>7</v>
      </c>
      <c r="X32" s="4"/>
      <c r="Y32" s="24"/>
    </row>
    <row r="33" spans="1:25">
      <c r="A33" s="29" t="s">
        <v>409</v>
      </c>
      <c r="B33" s="4" t="s">
        <v>141</v>
      </c>
      <c r="C33" s="4" t="s">
        <v>7</v>
      </c>
      <c r="D33" s="4" t="s">
        <v>145</v>
      </c>
      <c r="E33" s="198" t="s">
        <v>416</v>
      </c>
      <c r="F33" s="198" t="s">
        <v>417</v>
      </c>
      <c r="G33" s="4" t="s">
        <v>135</v>
      </c>
      <c r="H33" s="4" t="s">
        <v>166</v>
      </c>
      <c r="I33" s="92" t="s">
        <v>441</v>
      </c>
      <c r="J33" s="92" t="s">
        <v>442</v>
      </c>
      <c r="K33" s="4" t="s">
        <v>1</v>
      </c>
      <c r="L33" s="4" t="s">
        <v>1073</v>
      </c>
      <c r="M33" s="7">
        <v>304</v>
      </c>
      <c r="N33" s="7">
        <v>1560</v>
      </c>
      <c r="O33" s="4" t="s">
        <v>1099</v>
      </c>
      <c r="P33" s="4"/>
      <c r="Q33" s="4" t="s">
        <v>1069</v>
      </c>
      <c r="R33" s="4" t="s">
        <v>6</v>
      </c>
      <c r="S33" s="4" t="s">
        <v>420</v>
      </c>
      <c r="T33" s="4" t="s">
        <v>141</v>
      </c>
      <c r="U33" s="4" t="s">
        <v>409</v>
      </c>
      <c r="V33" s="4" t="s">
        <v>145</v>
      </c>
      <c r="W33" s="4" t="s">
        <v>7</v>
      </c>
      <c r="X33" s="4" t="s">
        <v>166</v>
      </c>
      <c r="Y33" s="24" t="s">
        <v>443</v>
      </c>
    </row>
    <row r="34" spans="1:25">
      <c r="A34" s="29" t="s">
        <v>409</v>
      </c>
      <c r="B34" s="4" t="s">
        <v>141</v>
      </c>
      <c r="C34" s="4" t="s">
        <v>7</v>
      </c>
      <c r="D34" s="4" t="s">
        <v>145</v>
      </c>
      <c r="E34" s="198" t="s">
        <v>416</v>
      </c>
      <c r="F34" s="198" t="s">
        <v>417</v>
      </c>
      <c r="G34" s="4" t="s">
        <v>134</v>
      </c>
      <c r="H34" s="4" t="s">
        <v>161</v>
      </c>
      <c r="I34" s="92" t="s">
        <v>423</v>
      </c>
      <c r="J34" s="92" t="s">
        <v>424</v>
      </c>
      <c r="K34" s="4" t="s">
        <v>1</v>
      </c>
      <c r="L34" s="4" t="s">
        <v>1076</v>
      </c>
      <c r="M34" s="7">
        <v>959</v>
      </c>
      <c r="N34" s="7">
        <v>4661</v>
      </c>
      <c r="O34" s="4" t="s">
        <v>1099</v>
      </c>
      <c r="P34" s="4"/>
      <c r="Q34" s="4" t="s">
        <v>1069</v>
      </c>
      <c r="R34" s="4" t="s">
        <v>6</v>
      </c>
      <c r="S34" s="4" t="s">
        <v>420</v>
      </c>
      <c r="T34" s="4" t="s">
        <v>141</v>
      </c>
      <c r="U34" s="4" t="s">
        <v>409</v>
      </c>
      <c r="V34" s="4" t="s">
        <v>145</v>
      </c>
      <c r="W34" s="4" t="s">
        <v>7</v>
      </c>
      <c r="X34" s="4" t="s">
        <v>165</v>
      </c>
      <c r="Y34" s="24" t="s">
        <v>8</v>
      </c>
    </row>
    <row r="35" spans="1:25">
      <c r="A35" s="29" t="s">
        <v>409</v>
      </c>
      <c r="B35" s="4" t="s">
        <v>141</v>
      </c>
      <c r="C35" s="4" t="s">
        <v>7</v>
      </c>
      <c r="D35" s="4" t="s">
        <v>145</v>
      </c>
      <c r="E35" s="198" t="s">
        <v>416</v>
      </c>
      <c r="F35" s="198" t="s">
        <v>417</v>
      </c>
      <c r="G35" s="4" t="s">
        <v>134</v>
      </c>
      <c r="H35" s="4" t="s">
        <v>161</v>
      </c>
      <c r="I35" s="92" t="s">
        <v>423</v>
      </c>
      <c r="J35" s="92" t="s">
        <v>424</v>
      </c>
      <c r="K35" s="4" t="s">
        <v>1</v>
      </c>
      <c r="L35" s="4" t="s">
        <v>1072</v>
      </c>
      <c r="M35" s="7">
        <v>2426</v>
      </c>
      <c r="N35" s="7">
        <v>12128</v>
      </c>
      <c r="O35" s="4" t="s">
        <v>1099</v>
      </c>
      <c r="P35" s="4"/>
      <c r="Q35" s="4" t="s">
        <v>1069</v>
      </c>
      <c r="R35" s="4" t="s">
        <v>6</v>
      </c>
      <c r="S35" s="4" t="s">
        <v>420</v>
      </c>
      <c r="T35" s="4" t="s">
        <v>141</v>
      </c>
      <c r="U35" s="4" t="s">
        <v>409</v>
      </c>
      <c r="V35" s="4" t="s">
        <v>145</v>
      </c>
      <c r="W35" s="4" t="s">
        <v>7</v>
      </c>
      <c r="X35" s="4" t="s">
        <v>165</v>
      </c>
      <c r="Y35" s="24" t="s">
        <v>8</v>
      </c>
    </row>
    <row r="36" spans="1:25">
      <c r="A36" s="29" t="s">
        <v>409</v>
      </c>
      <c r="B36" s="4" t="s">
        <v>141</v>
      </c>
      <c r="C36" s="4" t="s">
        <v>7</v>
      </c>
      <c r="D36" s="4" t="s">
        <v>145</v>
      </c>
      <c r="E36" s="198" t="s">
        <v>416</v>
      </c>
      <c r="F36" s="198" t="s">
        <v>417</v>
      </c>
      <c r="G36" s="4" t="s">
        <v>134</v>
      </c>
      <c r="H36" s="4" t="s">
        <v>161</v>
      </c>
      <c r="I36" s="92" t="s">
        <v>423</v>
      </c>
      <c r="J36" s="92" t="s">
        <v>424</v>
      </c>
      <c r="K36" s="4" t="s">
        <v>1</v>
      </c>
      <c r="L36" s="4" t="s">
        <v>1075</v>
      </c>
      <c r="M36" s="7">
        <v>392</v>
      </c>
      <c r="N36" s="7">
        <v>2096</v>
      </c>
      <c r="O36" s="4" t="s">
        <v>1099</v>
      </c>
      <c r="P36" s="4"/>
      <c r="Q36" s="4" t="s">
        <v>1069</v>
      </c>
      <c r="R36" s="4" t="s">
        <v>6</v>
      </c>
      <c r="S36" s="4" t="s">
        <v>420</v>
      </c>
      <c r="T36" s="4" t="s">
        <v>141</v>
      </c>
      <c r="U36" s="4" t="s">
        <v>409</v>
      </c>
      <c r="V36" s="4" t="s">
        <v>145</v>
      </c>
      <c r="W36" s="4" t="s">
        <v>7</v>
      </c>
      <c r="X36" s="4" t="s">
        <v>165</v>
      </c>
      <c r="Y36" s="24" t="s">
        <v>8</v>
      </c>
    </row>
    <row r="37" spans="1:25">
      <c r="A37" s="29" t="s">
        <v>409</v>
      </c>
      <c r="B37" s="4" t="s">
        <v>141</v>
      </c>
      <c r="C37" s="4" t="s">
        <v>7</v>
      </c>
      <c r="D37" s="4" t="s">
        <v>145</v>
      </c>
      <c r="E37" s="198" t="s">
        <v>416</v>
      </c>
      <c r="F37" s="198" t="s">
        <v>417</v>
      </c>
      <c r="G37" s="4" t="s">
        <v>32</v>
      </c>
      <c r="H37" s="4" t="s">
        <v>162</v>
      </c>
      <c r="I37" s="92" t="s">
        <v>470</v>
      </c>
      <c r="J37" s="92" t="s">
        <v>471</v>
      </c>
      <c r="K37" s="4" t="s">
        <v>1</v>
      </c>
      <c r="L37" s="4" t="s">
        <v>1076</v>
      </c>
      <c r="M37" s="7">
        <v>318</v>
      </c>
      <c r="N37" s="7">
        <v>2277</v>
      </c>
      <c r="O37" s="4" t="s">
        <v>1099</v>
      </c>
      <c r="P37" s="4"/>
      <c r="Q37" s="4" t="s">
        <v>1068</v>
      </c>
      <c r="R37" s="4" t="s">
        <v>6</v>
      </c>
      <c r="S37" s="4" t="s">
        <v>420</v>
      </c>
      <c r="T37" s="4" t="s">
        <v>141</v>
      </c>
      <c r="U37" s="4" t="s">
        <v>409</v>
      </c>
      <c r="V37" s="4" t="s">
        <v>145</v>
      </c>
      <c r="W37" s="4" t="s">
        <v>7</v>
      </c>
      <c r="X37" s="4"/>
      <c r="Y37" s="24"/>
    </row>
    <row r="38" spans="1:25">
      <c r="A38" s="29" t="s">
        <v>409</v>
      </c>
      <c r="B38" s="4" t="s">
        <v>141</v>
      </c>
      <c r="C38" s="4" t="s">
        <v>7</v>
      </c>
      <c r="D38" s="4" t="s">
        <v>145</v>
      </c>
      <c r="E38" s="198" t="s">
        <v>416</v>
      </c>
      <c r="F38" s="198" t="s">
        <v>417</v>
      </c>
      <c r="G38" s="4" t="s">
        <v>32</v>
      </c>
      <c r="H38" s="4" t="s">
        <v>162</v>
      </c>
      <c r="I38" s="92" t="s">
        <v>470</v>
      </c>
      <c r="J38" s="92" t="s">
        <v>471</v>
      </c>
      <c r="K38" s="4" t="s">
        <v>1</v>
      </c>
      <c r="L38" s="4" t="s">
        <v>1074</v>
      </c>
      <c r="M38" s="7">
        <v>102</v>
      </c>
      <c r="N38" s="7">
        <v>664</v>
      </c>
      <c r="O38" s="4" t="s">
        <v>1078</v>
      </c>
      <c r="P38" s="4"/>
      <c r="Q38" s="4" t="s">
        <v>1068</v>
      </c>
      <c r="R38" s="4" t="s">
        <v>6</v>
      </c>
      <c r="S38" s="4" t="s">
        <v>420</v>
      </c>
      <c r="T38" s="4" t="s">
        <v>141</v>
      </c>
      <c r="U38" s="4" t="s">
        <v>409</v>
      </c>
      <c r="V38" s="4" t="s">
        <v>145</v>
      </c>
      <c r="W38" s="4" t="s">
        <v>7</v>
      </c>
      <c r="X38" s="4"/>
      <c r="Y38" s="24"/>
    </row>
    <row r="39" spans="1:25">
      <c r="A39" s="29" t="s">
        <v>409</v>
      </c>
      <c r="B39" s="4" t="s">
        <v>141</v>
      </c>
      <c r="C39" s="4" t="s">
        <v>7</v>
      </c>
      <c r="D39" s="4" t="s">
        <v>145</v>
      </c>
      <c r="E39" s="198" t="s">
        <v>416</v>
      </c>
      <c r="F39" s="198" t="s">
        <v>417</v>
      </c>
      <c r="G39" s="4" t="s">
        <v>32</v>
      </c>
      <c r="H39" s="4" t="s">
        <v>162</v>
      </c>
      <c r="I39" s="92" t="s">
        <v>470</v>
      </c>
      <c r="J39" s="92" t="s">
        <v>471</v>
      </c>
      <c r="K39" s="4" t="s">
        <v>1</v>
      </c>
      <c r="L39" s="4" t="s">
        <v>1072</v>
      </c>
      <c r="M39" s="7">
        <v>11</v>
      </c>
      <c r="N39" s="7">
        <v>70</v>
      </c>
      <c r="O39" s="4" t="s">
        <v>1099</v>
      </c>
      <c r="P39" s="4"/>
      <c r="Q39" s="4" t="s">
        <v>1067</v>
      </c>
      <c r="R39" s="4" t="s">
        <v>6</v>
      </c>
      <c r="S39" s="4" t="s">
        <v>420</v>
      </c>
      <c r="T39" s="4" t="s">
        <v>141</v>
      </c>
      <c r="U39" s="4" t="s">
        <v>409</v>
      </c>
      <c r="V39" s="4" t="s">
        <v>148</v>
      </c>
      <c r="W39" s="4" t="s">
        <v>27</v>
      </c>
      <c r="X39" s="4"/>
      <c r="Y39" s="24"/>
    </row>
    <row r="40" spans="1:25">
      <c r="A40" s="29" t="s">
        <v>409</v>
      </c>
      <c r="B40" s="4" t="s">
        <v>141</v>
      </c>
      <c r="C40" s="4" t="s">
        <v>7</v>
      </c>
      <c r="D40" s="4" t="s">
        <v>145</v>
      </c>
      <c r="E40" s="198" t="s">
        <v>416</v>
      </c>
      <c r="F40" s="198" t="s">
        <v>417</v>
      </c>
      <c r="G40" s="4" t="s">
        <v>32</v>
      </c>
      <c r="H40" s="4" t="s">
        <v>162</v>
      </c>
      <c r="I40" s="92" t="s">
        <v>470</v>
      </c>
      <c r="J40" s="92" t="s">
        <v>471</v>
      </c>
      <c r="K40" s="4" t="s">
        <v>1</v>
      </c>
      <c r="L40" s="4" t="s">
        <v>1077</v>
      </c>
      <c r="M40" s="7">
        <v>464</v>
      </c>
      <c r="N40" s="7">
        <v>3481</v>
      </c>
      <c r="O40" s="4" t="s">
        <v>1099</v>
      </c>
      <c r="P40" s="4"/>
      <c r="Q40" s="4" t="s">
        <v>1068</v>
      </c>
      <c r="R40" s="4" t="s">
        <v>6</v>
      </c>
      <c r="S40" s="4" t="s">
        <v>420</v>
      </c>
      <c r="T40" s="4" t="s">
        <v>141</v>
      </c>
      <c r="U40" s="4" t="s">
        <v>409</v>
      </c>
      <c r="V40" s="4" t="s">
        <v>145</v>
      </c>
      <c r="W40" s="4" t="s">
        <v>7</v>
      </c>
      <c r="X40" s="4"/>
      <c r="Y40" s="24"/>
    </row>
    <row r="41" spans="1:25">
      <c r="A41" s="29" t="s">
        <v>409</v>
      </c>
      <c r="B41" s="4" t="s">
        <v>141</v>
      </c>
      <c r="C41" s="4" t="s">
        <v>7</v>
      </c>
      <c r="D41" s="4" t="s">
        <v>145</v>
      </c>
      <c r="E41" s="198" t="s">
        <v>416</v>
      </c>
      <c r="F41" s="198" t="s">
        <v>417</v>
      </c>
      <c r="G41" s="4" t="s">
        <v>32</v>
      </c>
      <c r="H41" s="4" t="s">
        <v>162</v>
      </c>
      <c r="I41" s="92" t="s">
        <v>470</v>
      </c>
      <c r="J41" s="92" t="s">
        <v>471</v>
      </c>
      <c r="K41" s="4" t="s">
        <v>1</v>
      </c>
      <c r="L41" s="4" t="s">
        <v>1075</v>
      </c>
      <c r="M41" s="7">
        <v>87</v>
      </c>
      <c r="N41" s="7">
        <v>441</v>
      </c>
      <c r="O41" s="4" t="s">
        <v>1099</v>
      </c>
      <c r="P41" s="4"/>
      <c r="Q41" s="4" t="s">
        <v>1068</v>
      </c>
      <c r="R41" s="4" t="s">
        <v>6</v>
      </c>
      <c r="S41" s="4" t="s">
        <v>420</v>
      </c>
      <c r="T41" s="4" t="s">
        <v>141</v>
      </c>
      <c r="U41" s="4" t="s">
        <v>409</v>
      </c>
      <c r="V41" s="4" t="s">
        <v>145</v>
      </c>
      <c r="W41" s="4" t="s">
        <v>7</v>
      </c>
      <c r="X41" s="4"/>
      <c r="Y41" s="24"/>
    </row>
    <row r="42" spans="1:25">
      <c r="A42" s="29" t="s">
        <v>409</v>
      </c>
      <c r="B42" s="4" t="s">
        <v>141</v>
      </c>
      <c r="C42" s="4" t="s">
        <v>7</v>
      </c>
      <c r="D42" s="4" t="s">
        <v>145</v>
      </c>
      <c r="E42" s="198" t="s">
        <v>416</v>
      </c>
      <c r="F42" s="198" t="s">
        <v>417</v>
      </c>
      <c r="G42" s="4" t="s">
        <v>8</v>
      </c>
      <c r="H42" s="4" t="s">
        <v>165</v>
      </c>
      <c r="I42" s="92" t="s">
        <v>492</v>
      </c>
      <c r="J42" s="92" t="s">
        <v>493</v>
      </c>
      <c r="K42" s="4" t="s">
        <v>1</v>
      </c>
      <c r="L42" s="4" t="s">
        <v>1075</v>
      </c>
      <c r="M42" s="7">
        <v>340</v>
      </c>
      <c r="N42" s="7">
        <v>1700</v>
      </c>
      <c r="O42" s="4" t="s">
        <v>1099</v>
      </c>
      <c r="P42" s="4"/>
      <c r="Q42" s="4" t="s">
        <v>1068</v>
      </c>
      <c r="R42" s="4" t="s">
        <v>6</v>
      </c>
      <c r="S42" s="4" t="s">
        <v>420</v>
      </c>
      <c r="T42" s="4" t="s">
        <v>141</v>
      </c>
      <c r="U42" s="4" t="s">
        <v>409</v>
      </c>
      <c r="V42" s="4" t="s">
        <v>145</v>
      </c>
      <c r="W42" s="4" t="s">
        <v>7</v>
      </c>
      <c r="X42" s="4"/>
      <c r="Y42" s="24"/>
    </row>
    <row r="43" spans="1:25">
      <c r="A43" s="29" t="s">
        <v>409</v>
      </c>
      <c r="B43" s="4" t="s">
        <v>141</v>
      </c>
      <c r="C43" s="4" t="s">
        <v>7</v>
      </c>
      <c r="D43" s="4" t="s">
        <v>145</v>
      </c>
      <c r="E43" s="198" t="s">
        <v>416</v>
      </c>
      <c r="F43" s="198" t="s">
        <v>417</v>
      </c>
      <c r="G43" s="4" t="s">
        <v>8</v>
      </c>
      <c r="H43" s="4" t="s">
        <v>165</v>
      </c>
      <c r="I43" s="92" t="s">
        <v>492</v>
      </c>
      <c r="J43" s="92" t="s">
        <v>493</v>
      </c>
      <c r="K43" s="4" t="s">
        <v>1</v>
      </c>
      <c r="L43" s="4" t="s">
        <v>1076</v>
      </c>
      <c r="M43" s="7">
        <v>3289</v>
      </c>
      <c r="N43" s="7">
        <v>13672</v>
      </c>
      <c r="O43" s="4" t="s">
        <v>1099</v>
      </c>
      <c r="P43" s="4"/>
      <c r="Q43" s="4" t="s">
        <v>1068</v>
      </c>
      <c r="R43" s="4" t="s">
        <v>6</v>
      </c>
      <c r="S43" s="4" t="s">
        <v>420</v>
      </c>
      <c r="T43" s="4" t="s">
        <v>141</v>
      </c>
      <c r="U43" s="4" t="s">
        <v>409</v>
      </c>
      <c r="V43" s="4" t="s">
        <v>145</v>
      </c>
      <c r="W43" s="4" t="s">
        <v>7</v>
      </c>
      <c r="X43" s="4"/>
      <c r="Y43" s="24"/>
    </row>
    <row r="44" spans="1:25">
      <c r="A44" s="29" t="s">
        <v>409</v>
      </c>
      <c r="B44" s="4" t="s">
        <v>141</v>
      </c>
      <c r="C44" s="4" t="s">
        <v>7</v>
      </c>
      <c r="D44" s="4" t="s">
        <v>145</v>
      </c>
      <c r="E44" s="198" t="s">
        <v>416</v>
      </c>
      <c r="F44" s="198" t="s">
        <v>417</v>
      </c>
      <c r="G44" s="4" t="s">
        <v>8</v>
      </c>
      <c r="H44" s="4" t="s">
        <v>165</v>
      </c>
      <c r="I44" s="92" t="s">
        <v>492</v>
      </c>
      <c r="J44" s="92" t="s">
        <v>493</v>
      </c>
      <c r="K44" s="4" t="s">
        <v>1</v>
      </c>
      <c r="L44" s="4" t="s">
        <v>1072</v>
      </c>
      <c r="M44" s="7">
        <v>765</v>
      </c>
      <c r="N44" s="7">
        <v>3850</v>
      </c>
      <c r="O44" s="4" t="s">
        <v>1099</v>
      </c>
      <c r="P44" s="4"/>
      <c r="Q44" s="4" t="s">
        <v>1068</v>
      </c>
      <c r="R44" s="4" t="s">
        <v>6</v>
      </c>
      <c r="S44" s="4" t="s">
        <v>420</v>
      </c>
      <c r="T44" s="4" t="s">
        <v>141</v>
      </c>
      <c r="U44" s="4" t="s">
        <v>409</v>
      </c>
      <c r="V44" s="4" t="s">
        <v>145</v>
      </c>
      <c r="W44" s="4" t="s">
        <v>7</v>
      </c>
      <c r="X44" s="4"/>
      <c r="Y44" s="24"/>
    </row>
    <row r="45" spans="1:25">
      <c r="A45" s="29" t="s">
        <v>409</v>
      </c>
      <c r="B45" s="4" t="s">
        <v>141</v>
      </c>
      <c r="C45" s="4" t="s">
        <v>7</v>
      </c>
      <c r="D45" s="4" t="s">
        <v>145</v>
      </c>
      <c r="E45" s="198" t="s">
        <v>416</v>
      </c>
      <c r="F45" s="198" t="s">
        <v>417</v>
      </c>
      <c r="G45" s="4" t="s">
        <v>8</v>
      </c>
      <c r="H45" s="4" t="s">
        <v>165</v>
      </c>
      <c r="I45" s="92" t="s">
        <v>492</v>
      </c>
      <c r="J45" s="92" t="s">
        <v>493</v>
      </c>
      <c r="K45" s="4" t="s">
        <v>1</v>
      </c>
      <c r="L45" s="4" t="s">
        <v>1073</v>
      </c>
      <c r="M45" s="7">
        <v>2746</v>
      </c>
      <c r="N45" s="7">
        <v>16478</v>
      </c>
      <c r="O45" s="4" t="s">
        <v>1099</v>
      </c>
      <c r="P45" s="4"/>
      <c r="Q45" s="4" t="s">
        <v>1068</v>
      </c>
      <c r="R45" s="4" t="s">
        <v>6</v>
      </c>
      <c r="S45" s="4" t="s">
        <v>420</v>
      </c>
      <c r="T45" s="4" t="s">
        <v>141</v>
      </c>
      <c r="U45" s="4" t="s">
        <v>409</v>
      </c>
      <c r="V45" s="4" t="s">
        <v>145</v>
      </c>
      <c r="W45" s="4" t="s">
        <v>7</v>
      </c>
      <c r="X45" s="4"/>
      <c r="Y45" s="24"/>
    </row>
    <row r="46" spans="1:25">
      <c r="A46" s="29" t="s">
        <v>409</v>
      </c>
      <c r="B46" s="4" t="s">
        <v>141</v>
      </c>
      <c r="C46" s="4" t="s">
        <v>7</v>
      </c>
      <c r="D46" s="4" t="s">
        <v>145</v>
      </c>
      <c r="E46" s="198" t="s">
        <v>416</v>
      </c>
      <c r="F46" s="198" t="s">
        <v>417</v>
      </c>
      <c r="G46" s="4" t="s">
        <v>8</v>
      </c>
      <c r="H46" s="4" t="s">
        <v>165</v>
      </c>
      <c r="I46" s="92" t="s">
        <v>492</v>
      </c>
      <c r="J46" s="92" t="s">
        <v>493</v>
      </c>
      <c r="K46" s="4" t="s">
        <v>1</v>
      </c>
      <c r="L46" s="4" t="s">
        <v>1077</v>
      </c>
      <c r="M46" s="7">
        <v>200</v>
      </c>
      <c r="N46" s="7">
        <v>1000</v>
      </c>
      <c r="O46" s="4" t="s">
        <v>1099</v>
      </c>
      <c r="P46" s="4"/>
      <c r="Q46" s="4" t="s">
        <v>1068</v>
      </c>
      <c r="R46" s="4" t="s">
        <v>6</v>
      </c>
      <c r="S46" s="4" t="s">
        <v>420</v>
      </c>
      <c r="T46" s="4" t="s">
        <v>141</v>
      </c>
      <c r="U46" s="4" t="s">
        <v>409</v>
      </c>
      <c r="V46" s="4" t="s">
        <v>145</v>
      </c>
      <c r="W46" s="4" t="s">
        <v>7</v>
      </c>
      <c r="X46" s="4"/>
      <c r="Y46" s="24"/>
    </row>
    <row r="47" spans="1:25">
      <c r="A47" s="29" t="s">
        <v>409</v>
      </c>
      <c r="B47" s="4" t="s">
        <v>141</v>
      </c>
      <c r="C47" s="4" t="s">
        <v>7</v>
      </c>
      <c r="D47" s="4" t="s">
        <v>145</v>
      </c>
      <c r="E47" s="198" t="s">
        <v>416</v>
      </c>
      <c r="F47" s="198" t="s">
        <v>417</v>
      </c>
      <c r="G47" s="4" t="s">
        <v>25</v>
      </c>
      <c r="H47" s="4" t="s">
        <v>159</v>
      </c>
      <c r="I47" s="92" t="s">
        <v>480</v>
      </c>
      <c r="J47" s="92" t="s">
        <v>481</v>
      </c>
      <c r="K47" s="4" t="s">
        <v>1</v>
      </c>
      <c r="L47" s="4" t="s">
        <v>1072</v>
      </c>
      <c r="M47" s="7">
        <v>329</v>
      </c>
      <c r="N47" s="7">
        <v>1645</v>
      </c>
      <c r="O47" s="4" t="s">
        <v>1099</v>
      </c>
      <c r="P47" s="4"/>
      <c r="Q47" s="4" t="s">
        <v>1068</v>
      </c>
      <c r="R47" s="4" t="s">
        <v>6</v>
      </c>
      <c r="S47" s="4" t="s">
        <v>420</v>
      </c>
      <c r="T47" s="4" t="s">
        <v>141</v>
      </c>
      <c r="U47" s="4" t="s">
        <v>409</v>
      </c>
      <c r="V47" s="4" t="s">
        <v>145</v>
      </c>
      <c r="W47" s="4" t="s">
        <v>7</v>
      </c>
      <c r="X47" s="4"/>
      <c r="Y47" s="24"/>
    </row>
    <row r="48" spans="1:25">
      <c r="A48" s="29" t="s">
        <v>409</v>
      </c>
      <c r="B48" s="4" t="s">
        <v>141</v>
      </c>
      <c r="C48" s="4" t="s">
        <v>7</v>
      </c>
      <c r="D48" s="4" t="s">
        <v>145</v>
      </c>
      <c r="E48" s="198" t="s">
        <v>416</v>
      </c>
      <c r="F48" s="198" t="s">
        <v>417</v>
      </c>
      <c r="G48" s="4" t="s">
        <v>25</v>
      </c>
      <c r="H48" s="4" t="s">
        <v>159</v>
      </c>
      <c r="I48" s="92" t="s">
        <v>480</v>
      </c>
      <c r="J48" s="92" t="s">
        <v>481</v>
      </c>
      <c r="K48" s="4" t="s">
        <v>1</v>
      </c>
      <c r="L48" s="4" t="s">
        <v>1075</v>
      </c>
      <c r="M48" s="7">
        <v>4</v>
      </c>
      <c r="N48" s="7">
        <v>20</v>
      </c>
      <c r="O48" s="4" t="s">
        <v>1099</v>
      </c>
      <c r="P48" s="4"/>
      <c r="Q48" s="4" t="s">
        <v>1067</v>
      </c>
      <c r="R48" s="4" t="s">
        <v>6</v>
      </c>
      <c r="S48" s="4" t="s">
        <v>420</v>
      </c>
      <c r="T48" s="4" t="s">
        <v>141</v>
      </c>
      <c r="U48" s="4" t="s">
        <v>409</v>
      </c>
      <c r="V48" s="4" t="s">
        <v>148</v>
      </c>
      <c r="W48" s="4" t="s">
        <v>27</v>
      </c>
      <c r="X48" s="4"/>
      <c r="Y48" s="24"/>
    </row>
    <row r="49" spans="1:25">
      <c r="A49" s="29" t="s">
        <v>409</v>
      </c>
      <c r="B49" s="4" t="s">
        <v>141</v>
      </c>
      <c r="C49" s="4" t="s">
        <v>7</v>
      </c>
      <c r="D49" s="4" t="s">
        <v>145</v>
      </c>
      <c r="E49" s="198" t="s">
        <v>416</v>
      </c>
      <c r="F49" s="198" t="s">
        <v>417</v>
      </c>
      <c r="G49" s="4" t="s">
        <v>9</v>
      </c>
      <c r="H49" s="4" t="s">
        <v>160</v>
      </c>
      <c r="I49" s="92" t="s">
        <v>446</v>
      </c>
      <c r="J49" s="92" t="s">
        <v>447</v>
      </c>
      <c r="K49" s="4" t="s">
        <v>1</v>
      </c>
      <c r="L49" s="4" t="s">
        <v>1076</v>
      </c>
      <c r="M49" s="7">
        <v>1715</v>
      </c>
      <c r="N49" s="7">
        <v>8575</v>
      </c>
      <c r="O49" s="4" t="s">
        <v>1078</v>
      </c>
      <c r="P49" s="4"/>
      <c r="Q49" s="4" t="s">
        <v>1067</v>
      </c>
      <c r="R49" s="4" t="s">
        <v>6</v>
      </c>
      <c r="S49" s="4" t="s">
        <v>420</v>
      </c>
      <c r="T49" s="4" t="s">
        <v>141</v>
      </c>
      <c r="U49" s="4" t="s">
        <v>409</v>
      </c>
      <c r="V49" s="4" t="s">
        <v>146</v>
      </c>
      <c r="W49" s="4" t="s">
        <v>10</v>
      </c>
      <c r="X49" s="4"/>
      <c r="Y49" s="24"/>
    </row>
    <row r="50" spans="1:25">
      <c r="A50" s="29" t="s">
        <v>409</v>
      </c>
      <c r="B50" s="4" t="s">
        <v>141</v>
      </c>
      <c r="C50" s="4" t="s">
        <v>7</v>
      </c>
      <c r="D50" s="4" t="s">
        <v>145</v>
      </c>
      <c r="E50" s="198" t="s">
        <v>416</v>
      </c>
      <c r="F50" s="198" t="s">
        <v>417</v>
      </c>
      <c r="G50" s="4" t="s">
        <v>21</v>
      </c>
      <c r="H50" s="4" t="s">
        <v>164</v>
      </c>
      <c r="I50" s="92" t="s">
        <v>490</v>
      </c>
      <c r="J50" s="92" t="s">
        <v>491</v>
      </c>
      <c r="K50" s="4" t="s">
        <v>1065</v>
      </c>
      <c r="L50" s="4" t="s">
        <v>1073</v>
      </c>
      <c r="M50" s="7">
        <v>370</v>
      </c>
      <c r="N50" s="7">
        <v>1850</v>
      </c>
      <c r="O50" s="4" t="s">
        <v>1099</v>
      </c>
      <c r="P50" s="4"/>
      <c r="Q50" s="4" t="s">
        <v>1070</v>
      </c>
      <c r="R50" s="4" t="s">
        <v>402</v>
      </c>
      <c r="S50" s="4" t="s">
        <v>500</v>
      </c>
      <c r="T50" s="4" t="s">
        <v>42</v>
      </c>
      <c r="U50" s="4" t="s">
        <v>501</v>
      </c>
      <c r="V50" s="4"/>
      <c r="W50" s="4"/>
      <c r="X50" s="4"/>
      <c r="Y50" s="24"/>
    </row>
    <row r="51" spans="1:25">
      <c r="A51" s="29" t="s">
        <v>409</v>
      </c>
      <c r="B51" s="4" t="s">
        <v>141</v>
      </c>
      <c r="C51" s="4" t="s">
        <v>7</v>
      </c>
      <c r="D51" s="4" t="s">
        <v>145</v>
      </c>
      <c r="E51" s="198" t="s">
        <v>416</v>
      </c>
      <c r="F51" s="198" t="s">
        <v>417</v>
      </c>
      <c r="G51" s="4" t="s">
        <v>21</v>
      </c>
      <c r="H51" s="4" t="s">
        <v>164</v>
      </c>
      <c r="I51" s="92" t="s">
        <v>490</v>
      </c>
      <c r="J51" s="92" t="s">
        <v>491</v>
      </c>
      <c r="K51" s="4" t="s">
        <v>1065</v>
      </c>
      <c r="L51" s="4" t="s">
        <v>1076</v>
      </c>
      <c r="M51" s="7">
        <v>341</v>
      </c>
      <c r="N51" s="7">
        <v>1705</v>
      </c>
      <c r="O51" s="4" t="s">
        <v>1099</v>
      </c>
      <c r="P51" s="4"/>
      <c r="Q51" s="4" t="s">
        <v>1070</v>
      </c>
      <c r="R51" s="4" t="s">
        <v>402</v>
      </c>
      <c r="S51" s="4" t="s">
        <v>500</v>
      </c>
      <c r="T51" s="4" t="s">
        <v>42</v>
      </c>
      <c r="U51" s="4" t="s">
        <v>501</v>
      </c>
      <c r="V51" s="4"/>
      <c r="W51" s="4"/>
      <c r="X51" s="4"/>
      <c r="Y51" s="24"/>
    </row>
    <row r="52" spans="1:25">
      <c r="A52" s="29" t="s">
        <v>409</v>
      </c>
      <c r="B52" s="4" t="s">
        <v>141</v>
      </c>
      <c r="C52" s="4" t="s">
        <v>7</v>
      </c>
      <c r="D52" s="4" t="s">
        <v>145</v>
      </c>
      <c r="E52" s="198" t="s">
        <v>416</v>
      </c>
      <c r="F52" s="198" t="s">
        <v>417</v>
      </c>
      <c r="G52" s="4" t="s">
        <v>21</v>
      </c>
      <c r="H52" s="4" t="s">
        <v>164</v>
      </c>
      <c r="I52" s="92" t="s">
        <v>490</v>
      </c>
      <c r="J52" s="92" t="s">
        <v>491</v>
      </c>
      <c r="K52" s="4" t="s">
        <v>1065</v>
      </c>
      <c r="L52" s="4" t="s">
        <v>1072</v>
      </c>
      <c r="M52" s="7">
        <v>289</v>
      </c>
      <c r="N52" s="7">
        <v>1445</v>
      </c>
      <c r="O52" s="4" t="s">
        <v>1099</v>
      </c>
      <c r="P52" s="4"/>
      <c r="Q52" s="4" t="s">
        <v>1070</v>
      </c>
      <c r="R52" s="4" t="s">
        <v>402</v>
      </c>
      <c r="S52" s="4" t="s">
        <v>500</v>
      </c>
      <c r="T52" s="4" t="s">
        <v>42</v>
      </c>
      <c r="U52" s="4" t="s">
        <v>501</v>
      </c>
      <c r="V52" s="4"/>
      <c r="W52" s="4"/>
      <c r="X52" s="4"/>
      <c r="Y52" s="24"/>
    </row>
    <row r="53" spans="1:25">
      <c r="A53" s="29" t="s">
        <v>409</v>
      </c>
      <c r="B53" s="4" t="s">
        <v>141</v>
      </c>
      <c r="C53" s="4" t="s">
        <v>7</v>
      </c>
      <c r="D53" s="4" t="s">
        <v>145</v>
      </c>
      <c r="E53" s="198" t="s">
        <v>416</v>
      </c>
      <c r="F53" s="198" t="s">
        <v>417</v>
      </c>
      <c r="G53" s="4" t="s">
        <v>25</v>
      </c>
      <c r="H53" s="4" t="s">
        <v>159</v>
      </c>
      <c r="I53" s="92" t="s">
        <v>480</v>
      </c>
      <c r="J53" s="92" t="s">
        <v>481</v>
      </c>
      <c r="K53" s="4" t="s">
        <v>1065</v>
      </c>
      <c r="L53" s="4" t="s">
        <v>1072</v>
      </c>
      <c r="M53" s="7">
        <v>105</v>
      </c>
      <c r="N53" s="7">
        <v>525</v>
      </c>
      <c r="O53" s="4" t="s">
        <v>1099</v>
      </c>
      <c r="P53" s="4"/>
      <c r="Q53" s="4" t="s">
        <v>1070</v>
      </c>
      <c r="R53" s="4" t="s">
        <v>402</v>
      </c>
      <c r="S53" s="4" t="s">
        <v>500</v>
      </c>
      <c r="T53" s="4" t="s">
        <v>42</v>
      </c>
      <c r="U53" s="4" t="s">
        <v>501</v>
      </c>
      <c r="V53" s="4"/>
      <c r="W53" s="4"/>
      <c r="X53" s="4"/>
      <c r="Y53" s="24"/>
    </row>
    <row r="54" spans="1:25">
      <c r="A54" s="29" t="s">
        <v>409</v>
      </c>
      <c r="B54" s="4" t="s">
        <v>141</v>
      </c>
      <c r="C54" s="4" t="s">
        <v>7</v>
      </c>
      <c r="D54" s="4" t="s">
        <v>145</v>
      </c>
      <c r="E54" s="198" t="s">
        <v>416</v>
      </c>
      <c r="F54" s="198" t="s">
        <v>417</v>
      </c>
      <c r="G54" s="4" t="s">
        <v>25</v>
      </c>
      <c r="H54" s="4" t="s">
        <v>159</v>
      </c>
      <c r="I54" s="92" t="s">
        <v>480</v>
      </c>
      <c r="J54" s="92" t="s">
        <v>481</v>
      </c>
      <c r="K54" s="4" t="s">
        <v>1065</v>
      </c>
      <c r="L54" s="4" t="s">
        <v>1073</v>
      </c>
      <c r="M54" s="7">
        <v>271</v>
      </c>
      <c r="N54" s="7">
        <v>1355</v>
      </c>
      <c r="O54" s="4" t="s">
        <v>1099</v>
      </c>
      <c r="P54" s="4"/>
      <c r="Q54" s="4" t="s">
        <v>1070</v>
      </c>
      <c r="R54" s="4" t="s">
        <v>402</v>
      </c>
      <c r="S54" s="4" t="s">
        <v>500</v>
      </c>
      <c r="T54" s="4" t="s">
        <v>42</v>
      </c>
      <c r="U54" s="4" t="s">
        <v>501</v>
      </c>
      <c r="V54" s="4"/>
      <c r="W54" s="4"/>
      <c r="X54" s="4"/>
      <c r="Y54" s="24"/>
    </row>
    <row r="55" spans="1:25">
      <c r="A55" s="29" t="s">
        <v>409</v>
      </c>
      <c r="B55" s="4" t="s">
        <v>141</v>
      </c>
      <c r="C55" s="4" t="s">
        <v>7</v>
      </c>
      <c r="D55" s="4" t="s">
        <v>145</v>
      </c>
      <c r="E55" s="198" t="s">
        <v>416</v>
      </c>
      <c r="F55" s="198" t="s">
        <v>417</v>
      </c>
      <c r="G55" s="4" t="s">
        <v>21</v>
      </c>
      <c r="H55" s="4" t="s">
        <v>164</v>
      </c>
      <c r="I55" s="198" t="s">
        <v>490</v>
      </c>
      <c r="J55" s="198" t="s">
        <v>491</v>
      </c>
      <c r="K55" s="4" t="s">
        <v>1066</v>
      </c>
      <c r="L55" s="4" t="s">
        <v>1075</v>
      </c>
      <c r="M55" s="7">
        <v>700</v>
      </c>
      <c r="N55" s="7">
        <v>3500</v>
      </c>
      <c r="O55" s="4"/>
      <c r="P55" s="4"/>
      <c r="Q55" s="4" t="s">
        <v>1071</v>
      </c>
      <c r="R55" s="4" t="s">
        <v>6</v>
      </c>
      <c r="S55" s="4" t="s">
        <v>420</v>
      </c>
      <c r="T55" s="4" t="s">
        <v>141</v>
      </c>
      <c r="U55" s="4" t="s">
        <v>409</v>
      </c>
      <c r="V55" s="4"/>
      <c r="W55" s="4"/>
      <c r="X55" s="4"/>
      <c r="Y55" s="24"/>
    </row>
    <row r="56" spans="1:25">
      <c r="A56" s="29" t="s">
        <v>409</v>
      </c>
      <c r="B56" s="4" t="s">
        <v>141</v>
      </c>
      <c r="C56" s="4" t="s">
        <v>7</v>
      </c>
      <c r="D56" s="4" t="s">
        <v>145</v>
      </c>
      <c r="E56" s="198" t="s">
        <v>416</v>
      </c>
      <c r="F56" s="198" t="s">
        <v>417</v>
      </c>
      <c r="G56" s="4" t="s">
        <v>21</v>
      </c>
      <c r="H56" s="4" t="s">
        <v>164</v>
      </c>
      <c r="I56" s="198" t="s">
        <v>490</v>
      </c>
      <c r="J56" s="198" t="s">
        <v>491</v>
      </c>
      <c r="K56" s="4" t="s">
        <v>1066</v>
      </c>
      <c r="L56" s="4" t="s">
        <v>1076</v>
      </c>
      <c r="M56" s="7">
        <v>478</v>
      </c>
      <c r="N56" s="7">
        <v>2390</v>
      </c>
      <c r="O56" s="4"/>
      <c r="P56" s="4"/>
      <c r="Q56" s="4" t="s">
        <v>1071</v>
      </c>
      <c r="R56" s="4" t="s">
        <v>6</v>
      </c>
      <c r="S56" s="4" t="s">
        <v>420</v>
      </c>
      <c r="T56" s="4" t="s">
        <v>141</v>
      </c>
      <c r="U56" s="4" t="s">
        <v>409</v>
      </c>
      <c r="V56" s="4"/>
      <c r="W56" s="4"/>
      <c r="X56" s="4"/>
      <c r="Y56" s="24"/>
    </row>
    <row r="57" spans="1:25">
      <c r="A57" s="29" t="s">
        <v>409</v>
      </c>
      <c r="B57" s="4" t="s">
        <v>141</v>
      </c>
      <c r="C57" s="4" t="s">
        <v>7</v>
      </c>
      <c r="D57" s="4" t="s">
        <v>145</v>
      </c>
      <c r="E57" s="198" t="s">
        <v>416</v>
      </c>
      <c r="F57" s="198" t="s">
        <v>417</v>
      </c>
      <c r="G57" s="4" t="s">
        <v>21</v>
      </c>
      <c r="H57" s="4" t="s">
        <v>164</v>
      </c>
      <c r="I57" s="198" t="s">
        <v>490</v>
      </c>
      <c r="J57" s="198" t="s">
        <v>491</v>
      </c>
      <c r="K57" s="4" t="s">
        <v>1066</v>
      </c>
      <c r="L57" s="4" t="s">
        <v>1072</v>
      </c>
      <c r="M57" s="7">
        <v>850</v>
      </c>
      <c r="N57" s="7">
        <v>4250</v>
      </c>
      <c r="O57" s="4"/>
      <c r="P57" s="4"/>
      <c r="Q57" s="4" t="s">
        <v>1071</v>
      </c>
      <c r="R57" s="4" t="s">
        <v>6</v>
      </c>
      <c r="S57" s="4" t="s">
        <v>420</v>
      </c>
      <c r="T57" s="4" t="s">
        <v>141</v>
      </c>
      <c r="U57" s="4" t="s">
        <v>409</v>
      </c>
      <c r="V57" s="4"/>
      <c r="W57" s="4"/>
      <c r="X57" s="4"/>
      <c r="Y57" s="24"/>
    </row>
    <row r="58" spans="1:25">
      <c r="A58" s="29" t="s">
        <v>409</v>
      </c>
      <c r="B58" s="4" t="s">
        <v>141</v>
      </c>
      <c r="C58" s="4" t="s">
        <v>7</v>
      </c>
      <c r="D58" s="4" t="s">
        <v>145</v>
      </c>
      <c r="E58" s="198" t="s">
        <v>416</v>
      </c>
      <c r="F58" s="198" t="s">
        <v>417</v>
      </c>
      <c r="G58" s="4" t="s">
        <v>135</v>
      </c>
      <c r="H58" s="4" t="s">
        <v>166</v>
      </c>
      <c r="I58" s="198" t="s">
        <v>441</v>
      </c>
      <c r="J58" s="198" t="s">
        <v>442</v>
      </c>
      <c r="K58" s="4" t="s">
        <v>1066</v>
      </c>
      <c r="L58" s="4" t="s">
        <v>1076</v>
      </c>
      <c r="M58" s="7">
        <v>327</v>
      </c>
      <c r="N58" s="7">
        <v>1525</v>
      </c>
      <c r="O58" s="4"/>
      <c r="P58" s="4"/>
      <c r="Q58" s="4" t="s">
        <v>1071</v>
      </c>
      <c r="R58" s="4" t="s">
        <v>6</v>
      </c>
      <c r="S58" s="4" t="s">
        <v>420</v>
      </c>
      <c r="T58" s="4" t="s">
        <v>141</v>
      </c>
      <c r="U58" s="4" t="s">
        <v>409</v>
      </c>
      <c r="V58" s="4"/>
      <c r="W58" s="4"/>
      <c r="X58" s="4"/>
      <c r="Y58" s="24"/>
    </row>
    <row r="59" spans="1:25">
      <c r="A59" s="29" t="s">
        <v>409</v>
      </c>
      <c r="B59" s="4" t="s">
        <v>141</v>
      </c>
      <c r="C59" s="4" t="s">
        <v>7</v>
      </c>
      <c r="D59" s="4" t="s">
        <v>145</v>
      </c>
      <c r="E59" s="198" t="s">
        <v>416</v>
      </c>
      <c r="F59" s="198" t="s">
        <v>417</v>
      </c>
      <c r="G59" s="4" t="s">
        <v>32</v>
      </c>
      <c r="H59" s="4" t="s">
        <v>162</v>
      </c>
      <c r="I59" s="198" t="s">
        <v>470</v>
      </c>
      <c r="J59" s="198" t="s">
        <v>471</v>
      </c>
      <c r="K59" s="4" t="s">
        <v>1066</v>
      </c>
      <c r="L59" s="4" t="s">
        <v>1074</v>
      </c>
      <c r="M59" s="7">
        <v>88</v>
      </c>
      <c r="N59" s="7">
        <v>490</v>
      </c>
      <c r="O59" s="4"/>
      <c r="P59" s="4"/>
      <c r="Q59" s="4" t="s">
        <v>1071</v>
      </c>
      <c r="R59" s="4" t="s">
        <v>6</v>
      </c>
      <c r="S59" s="4" t="s">
        <v>420</v>
      </c>
      <c r="T59" s="4" t="s">
        <v>141</v>
      </c>
      <c r="U59" s="4" t="s">
        <v>409</v>
      </c>
      <c r="V59" s="4"/>
      <c r="W59" s="4"/>
      <c r="X59" s="4"/>
      <c r="Y59" s="24"/>
    </row>
    <row r="60" spans="1:25">
      <c r="A60" s="29" t="s">
        <v>409</v>
      </c>
      <c r="B60" s="4" t="s">
        <v>141</v>
      </c>
      <c r="C60" s="4" t="s">
        <v>7</v>
      </c>
      <c r="D60" s="4" t="s">
        <v>145</v>
      </c>
      <c r="E60" s="198" t="s">
        <v>416</v>
      </c>
      <c r="F60" s="198" t="s">
        <v>417</v>
      </c>
      <c r="G60" s="4" t="s">
        <v>8</v>
      </c>
      <c r="H60" s="4" t="s">
        <v>165</v>
      </c>
      <c r="I60" s="198" t="s">
        <v>492</v>
      </c>
      <c r="J60" s="198" t="s">
        <v>493</v>
      </c>
      <c r="K60" s="4" t="s">
        <v>1066</v>
      </c>
      <c r="L60" s="4" t="s">
        <v>1075</v>
      </c>
      <c r="M60" s="7">
        <v>1060</v>
      </c>
      <c r="N60" s="7">
        <v>5300</v>
      </c>
      <c r="O60" s="4"/>
      <c r="P60" s="4"/>
      <c r="Q60" s="4" t="s">
        <v>1071</v>
      </c>
      <c r="R60" s="4" t="s">
        <v>6</v>
      </c>
      <c r="S60" s="4" t="s">
        <v>420</v>
      </c>
      <c r="T60" s="4" t="s">
        <v>141</v>
      </c>
      <c r="U60" s="4" t="s">
        <v>409</v>
      </c>
      <c r="V60" s="4"/>
      <c r="W60" s="4"/>
      <c r="X60" s="4"/>
      <c r="Y60" s="24"/>
    </row>
    <row r="61" spans="1:25">
      <c r="A61" s="29" t="s">
        <v>409</v>
      </c>
      <c r="B61" s="4" t="s">
        <v>141</v>
      </c>
      <c r="C61" s="4" t="s">
        <v>7</v>
      </c>
      <c r="D61" s="4" t="s">
        <v>145</v>
      </c>
      <c r="E61" s="198" t="s">
        <v>416</v>
      </c>
      <c r="F61" s="198" t="s">
        <v>417</v>
      </c>
      <c r="G61" s="4" t="s">
        <v>25</v>
      </c>
      <c r="H61" s="4" t="s">
        <v>159</v>
      </c>
      <c r="I61" s="198" t="s">
        <v>480</v>
      </c>
      <c r="J61" s="198" t="s">
        <v>481</v>
      </c>
      <c r="K61" s="4" t="s">
        <v>1066</v>
      </c>
      <c r="L61" s="4" t="s">
        <v>1072</v>
      </c>
      <c r="M61" s="7">
        <v>15</v>
      </c>
      <c r="N61" s="7">
        <v>75</v>
      </c>
      <c r="O61" s="4"/>
      <c r="P61" s="4"/>
      <c r="Q61" s="4" t="s">
        <v>1071</v>
      </c>
      <c r="R61" s="4" t="s">
        <v>6</v>
      </c>
      <c r="S61" s="4" t="s">
        <v>420</v>
      </c>
      <c r="T61" s="4" t="s">
        <v>141</v>
      </c>
      <c r="U61" s="4" t="s">
        <v>409</v>
      </c>
      <c r="V61" s="4"/>
      <c r="W61" s="4"/>
      <c r="X61" s="4"/>
      <c r="Y61" s="24"/>
    </row>
    <row r="62" spans="1:25">
      <c r="A62" s="29" t="s">
        <v>409</v>
      </c>
      <c r="B62" s="4" t="s">
        <v>141</v>
      </c>
      <c r="C62" s="4" t="s">
        <v>7</v>
      </c>
      <c r="D62" s="4" t="s">
        <v>145</v>
      </c>
      <c r="E62" s="198" t="s">
        <v>416</v>
      </c>
      <c r="F62" s="198" t="s">
        <v>417</v>
      </c>
      <c r="G62" s="4" t="s">
        <v>9</v>
      </c>
      <c r="H62" s="4" t="s">
        <v>160</v>
      </c>
      <c r="I62" s="198" t="s">
        <v>446</v>
      </c>
      <c r="J62" s="198" t="s">
        <v>447</v>
      </c>
      <c r="K62" s="4" t="s">
        <v>1066</v>
      </c>
      <c r="L62" s="4" t="s">
        <v>1076</v>
      </c>
      <c r="M62" s="7">
        <v>1610</v>
      </c>
      <c r="N62" s="7">
        <v>8050</v>
      </c>
      <c r="O62" s="4"/>
      <c r="P62" s="4"/>
      <c r="Q62" s="4" t="s">
        <v>1071</v>
      </c>
      <c r="R62" s="4" t="s">
        <v>6</v>
      </c>
      <c r="S62" s="4" t="s">
        <v>420</v>
      </c>
      <c r="T62" s="4" t="s">
        <v>141</v>
      </c>
      <c r="U62" s="4" t="s">
        <v>409</v>
      </c>
      <c r="V62" s="4"/>
      <c r="W62" s="4"/>
      <c r="X62" s="4"/>
      <c r="Y62" s="24"/>
    </row>
    <row r="63" spans="1:25">
      <c r="A63" s="199" t="s">
        <v>1225</v>
      </c>
      <c r="B63" s="137" t="s">
        <v>141</v>
      </c>
      <c r="C63" s="4" t="s">
        <v>7</v>
      </c>
      <c r="D63" s="4" t="s">
        <v>145</v>
      </c>
      <c r="E63" s="198">
        <v>14.665572467129101</v>
      </c>
      <c r="F63" s="198">
        <v>12.0078307949001</v>
      </c>
      <c r="G63" s="4" t="s">
        <v>18</v>
      </c>
      <c r="H63" s="4" t="s">
        <v>158</v>
      </c>
      <c r="I63" s="198">
        <v>14.6095404806017</v>
      </c>
      <c r="J63" s="198">
        <v>12.735839028901699</v>
      </c>
      <c r="K63" s="4" t="s">
        <v>1066</v>
      </c>
      <c r="L63" s="4" t="s">
        <v>1073</v>
      </c>
      <c r="M63" s="7">
        <v>28</v>
      </c>
      <c r="N63" s="7">
        <v>196</v>
      </c>
      <c r="O63" s="4"/>
      <c r="P63" s="4"/>
      <c r="Q63" s="4" t="s">
        <v>1226</v>
      </c>
      <c r="R63" s="4" t="s">
        <v>402</v>
      </c>
      <c r="S63" s="4" t="s">
        <v>500</v>
      </c>
      <c r="T63" s="4" t="s">
        <v>42</v>
      </c>
      <c r="U63" s="4" t="s">
        <v>501</v>
      </c>
      <c r="V63" s="4"/>
      <c r="W63" s="4"/>
      <c r="X63" s="4" t="s">
        <v>1227</v>
      </c>
      <c r="Y63" s="24"/>
    </row>
    <row r="64" spans="1:25">
      <c r="A64" s="199" t="s">
        <v>1225</v>
      </c>
      <c r="B64" s="137" t="s">
        <v>141</v>
      </c>
      <c r="C64" s="4" t="s">
        <v>7</v>
      </c>
      <c r="D64" s="4" t="s">
        <v>145</v>
      </c>
      <c r="E64" s="198">
        <v>14.665572467129101</v>
      </c>
      <c r="F64" s="198">
        <v>12.0078307949001</v>
      </c>
      <c r="G64" s="4" t="s">
        <v>18</v>
      </c>
      <c r="H64" s="4" t="s">
        <v>158</v>
      </c>
      <c r="I64" s="198">
        <v>14.6095404806017</v>
      </c>
      <c r="J64" s="198">
        <v>12.735839028901699</v>
      </c>
      <c r="K64" s="4" t="s">
        <v>1066</v>
      </c>
      <c r="L64" s="4" t="s">
        <v>1072</v>
      </c>
      <c r="M64" s="7">
        <v>30</v>
      </c>
      <c r="N64" s="7">
        <v>210</v>
      </c>
      <c r="O64" s="4"/>
      <c r="P64" s="4"/>
      <c r="Q64" s="4" t="s">
        <v>1226</v>
      </c>
      <c r="R64" s="4" t="s">
        <v>402</v>
      </c>
      <c r="S64" s="4" t="s">
        <v>500</v>
      </c>
      <c r="T64" s="4" t="s">
        <v>42</v>
      </c>
      <c r="U64" s="4" t="s">
        <v>501</v>
      </c>
      <c r="V64" s="4"/>
      <c r="W64" s="4"/>
      <c r="X64" s="4" t="s">
        <v>1227</v>
      </c>
      <c r="Y64" s="24"/>
    </row>
    <row r="65" spans="1:25">
      <c r="A65" s="29" t="s">
        <v>409</v>
      </c>
      <c r="B65" s="4" t="s">
        <v>141</v>
      </c>
      <c r="C65" s="4" t="s">
        <v>10</v>
      </c>
      <c r="D65" s="4" t="s">
        <v>146</v>
      </c>
      <c r="E65" s="198" t="s">
        <v>448</v>
      </c>
      <c r="F65" s="198" t="s">
        <v>449</v>
      </c>
      <c r="G65" s="4" t="s">
        <v>20</v>
      </c>
      <c r="H65" s="4" t="s">
        <v>171</v>
      </c>
      <c r="I65" s="92" t="s">
        <v>450</v>
      </c>
      <c r="J65" s="92" t="s">
        <v>451</v>
      </c>
      <c r="K65" s="4" t="s">
        <v>1</v>
      </c>
      <c r="L65" s="4" t="s">
        <v>1074</v>
      </c>
      <c r="M65" s="7">
        <v>102</v>
      </c>
      <c r="N65" s="7">
        <v>569</v>
      </c>
      <c r="O65" s="4" t="s">
        <v>1078</v>
      </c>
      <c r="P65" s="4"/>
      <c r="Q65" s="4" t="s">
        <v>1068</v>
      </c>
      <c r="R65" s="4" t="s">
        <v>6</v>
      </c>
      <c r="S65" s="4" t="s">
        <v>420</v>
      </c>
      <c r="T65" s="4" t="s">
        <v>141</v>
      </c>
      <c r="U65" s="4" t="s">
        <v>409</v>
      </c>
      <c r="V65" s="4" t="s">
        <v>146</v>
      </c>
      <c r="W65" s="4" t="s">
        <v>10</v>
      </c>
      <c r="X65" s="4"/>
      <c r="Y65" s="24"/>
    </row>
    <row r="66" spans="1:25">
      <c r="A66" s="29" t="s">
        <v>409</v>
      </c>
      <c r="B66" s="4" t="s">
        <v>141</v>
      </c>
      <c r="C66" s="4" t="s">
        <v>10</v>
      </c>
      <c r="D66" s="4" t="s">
        <v>146</v>
      </c>
      <c r="E66" s="198" t="s">
        <v>448</v>
      </c>
      <c r="F66" s="198" t="s">
        <v>449</v>
      </c>
      <c r="G66" s="4" t="s">
        <v>20</v>
      </c>
      <c r="H66" s="4" t="s">
        <v>171</v>
      </c>
      <c r="I66" s="92" t="s">
        <v>450</v>
      </c>
      <c r="J66" s="92" t="s">
        <v>451</v>
      </c>
      <c r="K66" s="4" t="s">
        <v>1</v>
      </c>
      <c r="L66" s="4" t="s">
        <v>1072</v>
      </c>
      <c r="M66" s="7">
        <v>45</v>
      </c>
      <c r="N66" s="7">
        <v>245</v>
      </c>
      <c r="O66" s="4" t="s">
        <v>1078</v>
      </c>
      <c r="P66" s="4"/>
      <c r="Q66" s="4" t="s">
        <v>1068</v>
      </c>
      <c r="R66" s="4" t="s">
        <v>6</v>
      </c>
      <c r="S66" s="4" t="s">
        <v>420</v>
      </c>
      <c r="T66" s="4" t="s">
        <v>141</v>
      </c>
      <c r="U66" s="4" t="s">
        <v>409</v>
      </c>
      <c r="V66" s="4" t="s">
        <v>146</v>
      </c>
      <c r="W66" s="4" t="s">
        <v>10</v>
      </c>
      <c r="X66" s="4"/>
      <c r="Y66" s="24"/>
    </row>
    <row r="67" spans="1:25">
      <c r="A67" s="29" t="s">
        <v>409</v>
      </c>
      <c r="B67" s="4" t="s">
        <v>141</v>
      </c>
      <c r="C67" s="4" t="s">
        <v>10</v>
      </c>
      <c r="D67" s="4" t="s">
        <v>146</v>
      </c>
      <c r="E67" s="198" t="s">
        <v>448</v>
      </c>
      <c r="F67" s="198" t="s">
        <v>449</v>
      </c>
      <c r="G67" s="4" t="s">
        <v>20</v>
      </c>
      <c r="H67" s="4" t="s">
        <v>171</v>
      </c>
      <c r="I67" s="92" t="s">
        <v>450</v>
      </c>
      <c r="J67" s="92" t="s">
        <v>451</v>
      </c>
      <c r="K67" s="4" t="s">
        <v>1</v>
      </c>
      <c r="L67" s="4" t="s">
        <v>1073</v>
      </c>
      <c r="M67" s="7">
        <v>89</v>
      </c>
      <c r="N67" s="7">
        <v>438</v>
      </c>
      <c r="O67" s="4" t="s">
        <v>1078</v>
      </c>
      <c r="P67" s="4"/>
      <c r="Q67" s="4" t="s">
        <v>1068</v>
      </c>
      <c r="R67" s="4" t="s">
        <v>6</v>
      </c>
      <c r="S67" s="4" t="s">
        <v>420</v>
      </c>
      <c r="T67" s="4" t="s">
        <v>141</v>
      </c>
      <c r="U67" s="4" t="s">
        <v>409</v>
      </c>
      <c r="V67" s="4" t="s">
        <v>146</v>
      </c>
      <c r="W67" s="4" t="s">
        <v>10</v>
      </c>
      <c r="X67" s="4"/>
      <c r="Y67" s="24"/>
    </row>
    <row r="68" spans="1:25">
      <c r="A68" s="29" t="s">
        <v>409</v>
      </c>
      <c r="B68" s="4" t="s">
        <v>141</v>
      </c>
      <c r="C68" s="4" t="s">
        <v>10</v>
      </c>
      <c r="D68" s="4" t="s">
        <v>146</v>
      </c>
      <c r="E68" s="198" t="s">
        <v>448</v>
      </c>
      <c r="F68" s="198" t="s">
        <v>449</v>
      </c>
      <c r="G68" s="4" t="s">
        <v>136</v>
      </c>
      <c r="H68" s="4" t="s">
        <v>169</v>
      </c>
      <c r="I68" s="92" t="s">
        <v>456</v>
      </c>
      <c r="J68" s="92" t="s">
        <v>457</v>
      </c>
      <c r="K68" s="4" t="s">
        <v>1</v>
      </c>
      <c r="L68" s="4" t="s">
        <v>1072</v>
      </c>
      <c r="M68" s="7">
        <v>92</v>
      </c>
      <c r="N68" s="7">
        <v>720</v>
      </c>
      <c r="O68" s="4" t="s">
        <v>1078</v>
      </c>
      <c r="P68" s="4"/>
      <c r="Q68" s="4" t="s">
        <v>1068</v>
      </c>
      <c r="R68" s="4" t="s">
        <v>6</v>
      </c>
      <c r="S68" s="4" t="s">
        <v>420</v>
      </c>
      <c r="T68" s="4" t="s">
        <v>141</v>
      </c>
      <c r="U68" s="4" t="s">
        <v>409</v>
      </c>
      <c r="V68" s="4" t="s">
        <v>146</v>
      </c>
      <c r="W68" s="4" t="s">
        <v>10</v>
      </c>
      <c r="X68" s="4"/>
      <c r="Y68" s="24"/>
    </row>
    <row r="69" spans="1:25">
      <c r="A69" s="29" t="s">
        <v>409</v>
      </c>
      <c r="B69" s="4" t="s">
        <v>141</v>
      </c>
      <c r="C69" s="4" t="s">
        <v>10</v>
      </c>
      <c r="D69" s="4" t="s">
        <v>146</v>
      </c>
      <c r="E69" s="198" t="s">
        <v>448</v>
      </c>
      <c r="F69" s="198" t="s">
        <v>449</v>
      </c>
      <c r="G69" s="4" t="s">
        <v>136</v>
      </c>
      <c r="H69" s="4" t="s">
        <v>169</v>
      </c>
      <c r="I69" s="92" t="s">
        <v>456</v>
      </c>
      <c r="J69" s="92" t="s">
        <v>457</v>
      </c>
      <c r="K69" s="4" t="s">
        <v>1</v>
      </c>
      <c r="L69" s="4" t="s">
        <v>1073</v>
      </c>
      <c r="M69" s="7">
        <v>100</v>
      </c>
      <c r="N69" s="7">
        <v>500</v>
      </c>
      <c r="O69" s="4" t="s">
        <v>1078</v>
      </c>
      <c r="P69" s="4"/>
      <c r="Q69" s="4" t="s">
        <v>1068</v>
      </c>
      <c r="R69" s="4" t="s">
        <v>6</v>
      </c>
      <c r="S69" s="4" t="s">
        <v>420</v>
      </c>
      <c r="T69" s="4" t="s">
        <v>141</v>
      </c>
      <c r="U69" s="4" t="s">
        <v>409</v>
      </c>
      <c r="V69" s="4" t="s">
        <v>146</v>
      </c>
      <c r="W69" s="4" t="s">
        <v>10</v>
      </c>
      <c r="X69" s="4"/>
      <c r="Y69" s="24"/>
    </row>
    <row r="70" spans="1:25">
      <c r="A70" s="29" t="s">
        <v>409</v>
      </c>
      <c r="B70" s="4" t="s">
        <v>141</v>
      </c>
      <c r="C70" s="4" t="s">
        <v>10</v>
      </c>
      <c r="D70" s="4" t="s">
        <v>146</v>
      </c>
      <c r="E70" s="198" t="s">
        <v>448</v>
      </c>
      <c r="F70" s="198" t="s">
        <v>449</v>
      </c>
      <c r="G70" s="4" t="s">
        <v>136</v>
      </c>
      <c r="H70" s="4" t="s">
        <v>169</v>
      </c>
      <c r="I70" s="92" t="s">
        <v>456</v>
      </c>
      <c r="J70" s="92" t="s">
        <v>457</v>
      </c>
      <c r="K70" s="4" t="s">
        <v>1</v>
      </c>
      <c r="L70" s="4" t="s">
        <v>1074</v>
      </c>
      <c r="M70" s="7">
        <v>45</v>
      </c>
      <c r="N70" s="7">
        <v>225</v>
      </c>
      <c r="O70" s="4" t="s">
        <v>1078</v>
      </c>
      <c r="P70" s="4"/>
      <c r="Q70" s="4" t="s">
        <v>1068</v>
      </c>
      <c r="R70" s="4" t="s">
        <v>6</v>
      </c>
      <c r="S70" s="4" t="s">
        <v>420</v>
      </c>
      <c r="T70" s="4" t="s">
        <v>141</v>
      </c>
      <c r="U70" s="4" t="s">
        <v>409</v>
      </c>
      <c r="V70" s="4" t="s">
        <v>146</v>
      </c>
      <c r="W70" s="4" t="s">
        <v>10</v>
      </c>
      <c r="X70" s="4"/>
      <c r="Y70" s="24"/>
    </row>
    <row r="71" spans="1:25">
      <c r="A71" s="29" t="s">
        <v>409</v>
      </c>
      <c r="B71" s="4" t="s">
        <v>141</v>
      </c>
      <c r="C71" s="4" t="s">
        <v>10</v>
      </c>
      <c r="D71" s="4" t="s">
        <v>146</v>
      </c>
      <c r="E71" s="198" t="s">
        <v>448</v>
      </c>
      <c r="F71" s="198" t="s">
        <v>449</v>
      </c>
      <c r="G71" s="4" t="s">
        <v>136</v>
      </c>
      <c r="H71" s="4" t="s">
        <v>169</v>
      </c>
      <c r="I71" s="92" t="s">
        <v>456</v>
      </c>
      <c r="J71" s="92" t="s">
        <v>457</v>
      </c>
      <c r="K71" s="4" t="s">
        <v>1</v>
      </c>
      <c r="L71" s="4" t="s">
        <v>1077</v>
      </c>
      <c r="M71" s="7">
        <v>2</v>
      </c>
      <c r="N71" s="7">
        <v>10</v>
      </c>
      <c r="O71" s="4" t="s">
        <v>1099</v>
      </c>
      <c r="P71" s="4"/>
      <c r="Q71" s="4" t="s">
        <v>1067</v>
      </c>
      <c r="R71" s="4" t="s">
        <v>6</v>
      </c>
      <c r="S71" s="4" t="s">
        <v>420</v>
      </c>
      <c r="T71" s="4" t="s">
        <v>141</v>
      </c>
      <c r="U71" s="4" t="s">
        <v>409</v>
      </c>
      <c r="V71" s="4" t="s">
        <v>148</v>
      </c>
      <c r="W71" s="4" t="s">
        <v>27</v>
      </c>
      <c r="X71" s="4"/>
      <c r="Y71" s="24"/>
    </row>
    <row r="72" spans="1:25">
      <c r="A72" s="29" t="s">
        <v>409</v>
      </c>
      <c r="B72" s="4" t="s">
        <v>141</v>
      </c>
      <c r="C72" s="4" t="s">
        <v>10</v>
      </c>
      <c r="D72" s="4" t="s">
        <v>146</v>
      </c>
      <c r="E72" s="198" t="s">
        <v>448</v>
      </c>
      <c r="F72" s="198" t="s">
        <v>449</v>
      </c>
      <c r="G72" s="4" t="s">
        <v>137</v>
      </c>
      <c r="H72" s="4" t="s">
        <v>170</v>
      </c>
      <c r="I72" s="92" t="s">
        <v>460</v>
      </c>
      <c r="J72" s="92" t="s">
        <v>461</v>
      </c>
      <c r="K72" s="4" t="s">
        <v>1</v>
      </c>
      <c r="L72" s="4" t="s">
        <v>1074</v>
      </c>
      <c r="M72" s="7">
        <v>359</v>
      </c>
      <c r="N72" s="7">
        <v>1795</v>
      </c>
      <c r="O72" s="4" t="s">
        <v>1078</v>
      </c>
      <c r="P72" s="4"/>
      <c r="Q72" s="4" t="s">
        <v>1068</v>
      </c>
      <c r="R72" s="4" t="s">
        <v>6</v>
      </c>
      <c r="S72" s="4" t="s">
        <v>420</v>
      </c>
      <c r="T72" s="4" t="s">
        <v>141</v>
      </c>
      <c r="U72" s="4" t="s">
        <v>409</v>
      </c>
      <c r="V72" s="4" t="s">
        <v>146</v>
      </c>
      <c r="W72" s="4" t="s">
        <v>10</v>
      </c>
      <c r="X72" s="4"/>
      <c r="Y72" s="24"/>
    </row>
    <row r="73" spans="1:25">
      <c r="A73" s="29" t="s">
        <v>409</v>
      </c>
      <c r="B73" s="4" t="s">
        <v>141</v>
      </c>
      <c r="C73" s="4" t="s">
        <v>10</v>
      </c>
      <c r="D73" s="4" t="s">
        <v>146</v>
      </c>
      <c r="E73" s="198" t="s">
        <v>448</v>
      </c>
      <c r="F73" s="198" t="s">
        <v>449</v>
      </c>
      <c r="G73" s="4" t="s">
        <v>31</v>
      </c>
      <c r="H73" s="4" t="s">
        <v>167</v>
      </c>
      <c r="I73" s="92" t="s">
        <v>452</v>
      </c>
      <c r="J73" s="92" t="s">
        <v>453</v>
      </c>
      <c r="K73" s="4" t="s">
        <v>1</v>
      </c>
      <c r="L73" s="4" t="s">
        <v>1076</v>
      </c>
      <c r="M73" s="7">
        <v>16</v>
      </c>
      <c r="N73" s="7">
        <v>95</v>
      </c>
      <c r="O73" s="4" t="s">
        <v>1078</v>
      </c>
      <c r="P73" s="4"/>
      <c r="Q73" s="4" t="s">
        <v>1068</v>
      </c>
      <c r="R73" s="4" t="s">
        <v>6</v>
      </c>
      <c r="S73" s="4" t="s">
        <v>420</v>
      </c>
      <c r="T73" s="4" t="s">
        <v>141</v>
      </c>
      <c r="U73" s="4" t="s">
        <v>409</v>
      </c>
      <c r="V73" s="4" t="s">
        <v>146</v>
      </c>
      <c r="W73" s="4" t="s">
        <v>10</v>
      </c>
      <c r="X73" s="4"/>
      <c r="Y73" s="24"/>
    </row>
    <row r="74" spans="1:25">
      <c r="A74" s="29" t="s">
        <v>409</v>
      </c>
      <c r="B74" s="4" t="s">
        <v>141</v>
      </c>
      <c r="C74" s="4" t="s">
        <v>10</v>
      </c>
      <c r="D74" s="4" t="s">
        <v>146</v>
      </c>
      <c r="E74" s="198" t="s">
        <v>448</v>
      </c>
      <c r="F74" s="198" t="s">
        <v>449</v>
      </c>
      <c r="G74" s="4" t="s">
        <v>31</v>
      </c>
      <c r="H74" s="4" t="s">
        <v>167</v>
      </c>
      <c r="I74" s="92" t="s">
        <v>452</v>
      </c>
      <c r="J74" s="92" t="s">
        <v>453</v>
      </c>
      <c r="K74" s="4" t="s">
        <v>1</v>
      </c>
      <c r="L74" s="4" t="s">
        <v>1072</v>
      </c>
      <c r="M74" s="7">
        <v>51</v>
      </c>
      <c r="N74" s="7">
        <v>275</v>
      </c>
      <c r="O74" s="4" t="s">
        <v>1078</v>
      </c>
      <c r="P74" s="4"/>
      <c r="Q74" s="4" t="s">
        <v>1068</v>
      </c>
      <c r="R74" s="4" t="s">
        <v>6</v>
      </c>
      <c r="S74" s="4" t="s">
        <v>420</v>
      </c>
      <c r="T74" s="4" t="s">
        <v>141</v>
      </c>
      <c r="U74" s="4" t="s">
        <v>409</v>
      </c>
      <c r="V74" s="4" t="s">
        <v>146</v>
      </c>
      <c r="W74" s="4" t="s">
        <v>10</v>
      </c>
      <c r="X74" s="4"/>
      <c r="Y74" s="24"/>
    </row>
    <row r="75" spans="1:25">
      <c r="A75" s="29" t="s">
        <v>409</v>
      </c>
      <c r="B75" s="4" t="s">
        <v>141</v>
      </c>
      <c r="C75" s="4" t="s">
        <v>10</v>
      </c>
      <c r="D75" s="4" t="s">
        <v>146</v>
      </c>
      <c r="E75" s="198" t="s">
        <v>448</v>
      </c>
      <c r="F75" s="198" t="s">
        <v>449</v>
      </c>
      <c r="G75" s="4" t="s">
        <v>31</v>
      </c>
      <c r="H75" s="4" t="s">
        <v>167</v>
      </c>
      <c r="I75" s="92" t="s">
        <v>452</v>
      </c>
      <c r="J75" s="92" t="s">
        <v>453</v>
      </c>
      <c r="K75" s="4" t="s">
        <v>1</v>
      </c>
      <c r="L75" s="4" t="s">
        <v>1073</v>
      </c>
      <c r="M75" s="7">
        <v>345</v>
      </c>
      <c r="N75" s="7">
        <v>2321</v>
      </c>
      <c r="O75" s="4" t="s">
        <v>1078</v>
      </c>
      <c r="P75" s="4"/>
      <c r="Q75" s="4" t="s">
        <v>1068</v>
      </c>
      <c r="R75" s="4" t="s">
        <v>6</v>
      </c>
      <c r="S75" s="4" t="s">
        <v>420</v>
      </c>
      <c r="T75" s="4" t="s">
        <v>141</v>
      </c>
      <c r="U75" s="4" t="s">
        <v>409</v>
      </c>
      <c r="V75" s="4" t="s">
        <v>146</v>
      </c>
      <c r="W75" s="4" t="s">
        <v>10</v>
      </c>
      <c r="X75" s="4"/>
      <c r="Y75" s="24"/>
    </row>
    <row r="76" spans="1:25">
      <c r="A76" s="29" t="s">
        <v>409</v>
      </c>
      <c r="B76" s="4" t="s">
        <v>141</v>
      </c>
      <c r="C76" s="4" t="s">
        <v>10</v>
      </c>
      <c r="D76" s="4" t="s">
        <v>146</v>
      </c>
      <c r="E76" s="198" t="s">
        <v>448</v>
      </c>
      <c r="F76" s="198" t="s">
        <v>449</v>
      </c>
      <c r="G76" s="4" t="s">
        <v>31</v>
      </c>
      <c r="H76" s="4" t="s">
        <v>167</v>
      </c>
      <c r="I76" s="92" t="s">
        <v>452</v>
      </c>
      <c r="J76" s="92" t="s">
        <v>453</v>
      </c>
      <c r="K76" s="4" t="s">
        <v>1</v>
      </c>
      <c r="L76" s="4" t="s">
        <v>1074</v>
      </c>
      <c r="M76" s="7">
        <v>1074</v>
      </c>
      <c r="N76" s="7">
        <v>8922</v>
      </c>
      <c r="O76" s="4" t="s">
        <v>1078</v>
      </c>
      <c r="P76" s="4"/>
      <c r="Q76" s="4" t="s">
        <v>1068</v>
      </c>
      <c r="R76" s="4" t="s">
        <v>6</v>
      </c>
      <c r="S76" s="4" t="s">
        <v>420</v>
      </c>
      <c r="T76" s="4" t="s">
        <v>141</v>
      </c>
      <c r="U76" s="4" t="s">
        <v>409</v>
      </c>
      <c r="V76" s="4" t="s">
        <v>146</v>
      </c>
      <c r="W76" s="4" t="s">
        <v>10</v>
      </c>
      <c r="X76" s="4"/>
      <c r="Y76" s="24"/>
    </row>
    <row r="77" spans="1:25">
      <c r="A77" s="29" t="s">
        <v>409</v>
      </c>
      <c r="B77" s="4" t="s">
        <v>141</v>
      </c>
      <c r="C77" s="4" t="s">
        <v>10</v>
      </c>
      <c r="D77" s="4" t="s">
        <v>146</v>
      </c>
      <c r="E77" s="198" t="s">
        <v>448</v>
      </c>
      <c r="F77" s="198" t="s">
        <v>449</v>
      </c>
      <c r="G77" s="4" t="s">
        <v>17</v>
      </c>
      <c r="H77" s="4" t="s">
        <v>168</v>
      </c>
      <c r="I77" s="92" t="s">
        <v>454</v>
      </c>
      <c r="J77" s="92" t="s">
        <v>455</v>
      </c>
      <c r="K77" s="4" t="s">
        <v>1</v>
      </c>
      <c r="L77" s="4" t="s">
        <v>1074</v>
      </c>
      <c r="M77" s="7">
        <v>473</v>
      </c>
      <c r="N77" s="7">
        <v>2522</v>
      </c>
      <c r="O77" s="4" t="s">
        <v>1078</v>
      </c>
      <c r="P77" s="4"/>
      <c r="Q77" s="4" t="s">
        <v>1068</v>
      </c>
      <c r="R77" s="4" t="s">
        <v>6</v>
      </c>
      <c r="S77" s="4" t="s">
        <v>420</v>
      </c>
      <c r="T77" s="4" t="s">
        <v>141</v>
      </c>
      <c r="U77" s="4" t="s">
        <v>409</v>
      </c>
      <c r="V77" s="4" t="s">
        <v>146</v>
      </c>
      <c r="W77" s="4" t="s">
        <v>10</v>
      </c>
      <c r="X77" s="4"/>
      <c r="Y77" s="24"/>
    </row>
    <row r="78" spans="1:25">
      <c r="A78" s="29" t="s">
        <v>409</v>
      </c>
      <c r="B78" s="4" t="s">
        <v>141</v>
      </c>
      <c r="C78" s="4" t="s">
        <v>10</v>
      </c>
      <c r="D78" s="4" t="s">
        <v>146</v>
      </c>
      <c r="E78" s="198" t="s">
        <v>448</v>
      </c>
      <c r="F78" s="198" t="s">
        <v>449</v>
      </c>
      <c r="G78" s="4" t="s">
        <v>17</v>
      </c>
      <c r="H78" s="4" t="s">
        <v>168</v>
      </c>
      <c r="I78" s="92" t="s">
        <v>454</v>
      </c>
      <c r="J78" s="92" t="s">
        <v>455</v>
      </c>
      <c r="K78" s="4" t="s">
        <v>1</v>
      </c>
      <c r="L78" s="4" t="s">
        <v>1073</v>
      </c>
      <c r="M78" s="7">
        <v>41</v>
      </c>
      <c r="N78" s="7">
        <v>375</v>
      </c>
      <c r="O78" s="4" t="s">
        <v>1099</v>
      </c>
      <c r="P78" s="4"/>
      <c r="Q78" s="4" t="s">
        <v>1067</v>
      </c>
      <c r="R78" s="4" t="s">
        <v>6</v>
      </c>
      <c r="S78" s="4" t="s">
        <v>420</v>
      </c>
      <c r="T78" s="4" t="s">
        <v>141</v>
      </c>
      <c r="U78" s="4" t="s">
        <v>409</v>
      </c>
      <c r="V78" s="4" t="s">
        <v>148</v>
      </c>
      <c r="W78" s="4" t="s">
        <v>27</v>
      </c>
      <c r="X78" s="4"/>
      <c r="Y78" s="24"/>
    </row>
    <row r="79" spans="1:25">
      <c r="A79" s="29" t="s">
        <v>409</v>
      </c>
      <c r="B79" s="4" t="s">
        <v>141</v>
      </c>
      <c r="C79" s="4" t="s">
        <v>10</v>
      </c>
      <c r="D79" s="4" t="s">
        <v>146</v>
      </c>
      <c r="E79" s="198" t="s">
        <v>448</v>
      </c>
      <c r="F79" s="198" t="s">
        <v>449</v>
      </c>
      <c r="G79" s="4" t="s">
        <v>17</v>
      </c>
      <c r="H79" s="4" t="s">
        <v>168</v>
      </c>
      <c r="I79" s="92" t="s">
        <v>454</v>
      </c>
      <c r="J79" s="92" t="s">
        <v>455</v>
      </c>
      <c r="K79" s="4" t="s">
        <v>1</v>
      </c>
      <c r="L79" s="4" t="s">
        <v>1076</v>
      </c>
      <c r="M79" s="7">
        <v>9</v>
      </c>
      <c r="N79" s="7">
        <v>63</v>
      </c>
      <c r="O79" s="4" t="s">
        <v>1078</v>
      </c>
      <c r="P79" s="4"/>
      <c r="Q79" s="4" t="s">
        <v>1068</v>
      </c>
      <c r="R79" s="4" t="s">
        <v>6</v>
      </c>
      <c r="S79" s="4" t="s">
        <v>420</v>
      </c>
      <c r="T79" s="4" t="s">
        <v>141</v>
      </c>
      <c r="U79" s="4" t="s">
        <v>409</v>
      </c>
      <c r="V79" s="4" t="s">
        <v>146</v>
      </c>
      <c r="W79" s="4" t="s">
        <v>10</v>
      </c>
      <c r="X79" s="4"/>
      <c r="Y79" s="24"/>
    </row>
    <row r="80" spans="1:25">
      <c r="A80" s="29" t="s">
        <v>409</v>
      </c>
      <c r="B80" s="4" t="s">
        <v>141</v>
      </c>
      <c r="C80" s="4" t="s">
        <v>10</v>
      </c>
      <c r="D80" s="4" t="s">
        <v>146</v>
      </c>
      <c r="E80" s="198" t="s">
        <v>448</v>
      </c>
      <c r="F80" s="198" t="s">
        <v>449</v>
      </c>
      <c r="G80" s="4" t="s">
        <v>29</v>
      </c>
      <c r="H80" s="4" t="s">
        <v>172</v>
      </c>
      <c r="I80" s="92" t="s">
        <v>458</v>
      </c>
      <c r="J80" s="92" t="s">
        <v>459</v>
      </c>
      <c r="K80" s="4" t="s">
        <v>1</v>
      </c>
      <c r="L80" s="4" t="s">
        <v>1074</v>
      </c>
      <c r="M80" s="7">
        <v>67</v>
      </c>
      <c r="N80" s="7">
        <v>359</v>
      </c>
      <c r="O80" s="4" t="s">
        <v>1078</v>
      </c>
      <c r="P80" s="4"/>
      <c r="Q80" s="4" t="s">
        <v>1068</v>
      </c>
      <c r="R80" s="4" t="s">
        <v>6</v>
      </c>
      <c r="S80" s="4" t="s">
        <v>420</v>
      </c>
      <c r="T80" s="4" t="s">
        <v>141</v>
      </c>
      <c r="U80" s="4" t="s">
        <v>409</v>
      </c>
      <c r="V80" s="4" t="s">
        <v>146</v>
      </c>
      <c r="W80" s="4" t="s">
        <v>10</v>
      </c>
      <c r="X80" s="4"/>
      <c r="Y80" s="24"/>
    </row>
    <row r="81" spans="1:25">
      <c r="A81" s="29" t="s">
        <v>409</v>
      </c>
      <c r="B81" s="4" t="s">
        <v>141</v>
      </c>
      <c r="C81" s="4" t="s">
        <v>10</v>
      </c>
      <c r="D81" s="4" t="s">
        <v>146</v>
      </c>
      <c r="E81" s="198" t="s">
        <v>448</v>
      </c>
      <c r="F81" s="198" t="s">
        <v>449</v>
      </c>
      <c r="G81" s="4" t="s">
        <v>20</v>
      </c>
      <c r="H81" s="4" t="s">
        <v>171</v>
      </c>
      <c r="I81" s="92" t="s">
        <v>450</v>
      </c>
      <c r="J81" s="92" t="s">
        <v>451</v>
      </c>
      <c r="K81" s="4" t="s">
        <v>1065</v>
      </c>
      <c r="L81" s="4" t="s">
        <v>1072</v>
      </c>
      <c r="M81" s="7">
        <v>23</v>
      </c>
      <c r="N81" s="7">
        <v>125</v>
      </c>
      <c r="O81" s="4" t="s">
        <v>1099</v>
      </c>
      <c r="P81" s="4"/>
      <c r="Q81" s="4" t="s">
        <v>1070</v>
      </c>
      <c r="R81" s="4" t="s">
        <v>402</v>
      </c>
      <c r="S81" s="4" t="s">
        <v>500</v>
      </c>
      <c r="T81" s="4" t="s">
        <v>42</v>
      </c>
      <c r="U81" s="4" t="s">
        <v>501</v>
      </c>
      <c r="V81" s="4"/>
      <c r="W81" s="4"/>
      <c r="X81" s="4"/>
      <c r="Y81" s="24"/>
    </row>
    <row r="82" spans="1:25">
      <c r="A82" s="29" t="s">
        <v>409</v>
      </c>
      <c r="B82" s="4" t="s">
        <v>141</v>
      </c>
      <c r="C82" s="4" t="s">
        <v>10</v>
      </c>
      <c r="D82" s="4" t="s">
        <v>146</v>
      </c>
      <c r="E82" s="198" t="s">
        <v>448</v>
      </c>
      <c r="F82" s="198" t="s">
        <v>449</v>
      </c>
      <c r="G82" s="4" t="s">
        <v>20</v>
      </c>
      <c r="H82" s="4" t="s">
        <v>171</v>
      </c>
      <c r="I82" s="92" t="s">
        <v>450</v>
      </c>
      <c r="J82" s="92" t="s">
        <v>451</v>
      </c>
      <c r="K82" s="4" t="s">
        <v>1065</v>
      </c>
      <c r="L82" s="4" t="s">
        <v>1073</v>
      </c>
      <c r="M82" s="7">
        <v>22</v>
      </c>
      <c r="N82" s="7">
        <v>110</v>
      </c>
      <c r="O82" s="4" t="s">
        <v>1099</v>
      </c>
      <c r="P82" s="4"/>
      <c r="Q82" s="4" t="s">
        <v>1070</v>
      </c>
      <c r="R82" s="4" t="s">
        <v>402</v>
      </c>
      <c r="S82" s="4" t="s">
        <v>500</v>
      </c>
      <c r="T82" s="4" t="s">
        <v>42</v>
      </c>
      <c r="U82" s="4" t="s">
        <v>501</v>
      </c>
      <c r="V82" s="4"/>
      <c r="W82" s="4"/>
      <c r="X82" s="4"/>
      <c r="Y82" s="24"/>
    </row>
    <row r="83" spans="1:25">
      <c r="A83" s="29" t="s">
        <v>409</v>
      </c>
      <c r="B83" s="4" t="s">
        <v>141</v>
      </c>
      <c r="C83" s="4" t="s">
        <v>10</v>
      </c>
      <c r="D83" s="4" t="s">
        <v>146</v>
      </c>
      <c r="E83" s="198" t="s">
        <v>448</v>
      </c>
      <c r="F83" s="198" t="s">
        <v>449</v>
      </c>
      <c r="G83" s="4" t="s">
        <v>17</v>
      </c>
      <c r="H83" s="4" t="s">
        <v>168</v>
      </c>
      <c r="I83" s="92" t="s">
        <v>454</v>
      </c>
      <c r="J83" s="92" t="s">
        <v>455</v>
      </c>
      <c r="K83" s="4" t="s">
        <v>1065</v>
      </c>
      <c r="L83" s="4" t="s">
        <v>1073</v>
      </c>
      <c r="M83" s="7">
        <v>121</v>
      </c>
      <c r="N83" s="7">
        <v>605</v>
      </c>
      <c r="O83" s="4" t="s">
        <v>1099</v>
      </c>
      <c r="P83" s="4"/>
      <c r="Q83" s="4" t="s">
        <v>1070</v>
      </c>
      <c r="R83" s="4" t="s">
        <v>402</v>
      </c>
      <c r="S83" s="4" t="s">
        <v>500</v>
      </c>
      <c r="T83" s="4" t="s">
        <v>42</v>
      </c>
      <c r="U83" s="4" t="s">
        <v>501</v>
      </c>
      <c r="V83" s="4"/>
      <c r="W83" s="4"/>
      <c r="X83" s="4"/>
      <c r="Y83" s="24"/>
    </row>
    <row r="84" spans="1:25">
      <c r="A84" s="29" t="s">
        <v>409</v>
      </c>
      <c r="B84" s="4" t="s">
        <v>141</v>
      </c>
      <c r="C84" s="4" t="s">
        <v>10</v>
      </c>
      <c r="D84" s="4" t="s">
        <v>146</v>
      </c>
      <c r="E84" s="198" t="s">
        <v>448</v>
      </c>
      <c r="F84" s="198" t="s">
        <v>449</v>
      </c>
      <c r="G84" s="4" t="s">
        <v>29</v>
      </c>
      <c r="H84" s="4" t="s">
        <v>172</v>
      </c>
      <c r="I84" s="92" t="s">
        <v>458</v>
      </c>
      <c r="J84" s="92" t="s">
        <v>459</v>
      </c>
      <c r="K84" s="4" t="s">
        <v>1065</v>
      </c>
      <c r="L84" s="4" t="s">
        <v>1073</v>
      </c>
      <c r="M84" s="7">
        <v>1</v>
      </c>
      <c r="N84" s="7">
        <v>4</v>
      </c>
      <c r="O84" s="75" t="s">
        <v>1096</v>
      </c>
      <c r="P84" s="4"/>
      <c r="Q84" s="4" t="s">
        <v>1070</v>
      </c>
      <c r="R84" s="4" t="s">
        <v>403</v>
      </c>
      <c r="S84" s="4" t="s">
        <v>502</v>
      </c>
      <c r="T84" s="4" t="s">
        <v>503</v>
      </c>
      <c r="U84" s="4" t="s">
        <v>504</v>
      </c>
      <c r="V84" s="4"/>
      <c r="W84" s="4"/>
      <c r="X84" s="4"/>
      <c r="Y84" s="24"/>
    </row>
    <row r="85" spans="1:25">
      <c r="A85" s="29" t="s">
        <v>409</v>
      </c>
      <c r="B85" s="4" t="s">
        <v>141</v>
      </c>
      <c r="C85" s="4" t="s">
        <v>10</v>
      </c>
      <c r="D85" s="4" t="s">
        <v>146</v>
      </c>
      <c r="E85" s="198" t="s">
        <v>448</v>
      </c>
      <c r="F85" s="198" t="s">
        <v>449</v>
      </c>
      <c r="G85" s="4" t="s">
        <v>20</v>
      </c>
      <c r="H85" s="4" t="s">
        <v>171</v>
      </c>
      <c r="I85" s="198" t="s">
        <v>450</v>
      </c>
      <c r="J85" s="198" t="s">
        <v>451</v>
      </c>
      <c r="K85" s="4" t="s">
        <v>1066</v>
      </c>
      <c r="L85" s="4" t="s">
        <v>1073</v>
      </c>
      <c r="M85" s="7">
        <v>48</v>
      </c>
      <c r="N85" s="7">
        <v>325</v>
      </c>
      <c r="O85" s="4"/>
      <c r="P85" s="4"/>
      <c r="Q85" s="4" t="s">
        <v>1070</v>
      </c>
      <c r="R85" s="4" t="s">
        <v>402</v>
      </c>
      <c r="S85" s="4" t="s">
        <v>500</v>
      </c>
      <c r="T85" s="4" t="s">
        <v>42</v>
      </c>
      <c r="U85" s="4" t="s">
        <v>501</v>
      </c>
      <c r="V85" s="4"/>
      <c r="W85" s="4"/>
      <c r="X85" s="4"/>
      <c r="Y85" s="24"/>
    </row>
    <row r="86" spans="1:25">
      <c r="A86" s="29" t="s">
        <v>409</v>
      </c>
      <c r="B86" s="4" t="s">
        <v>141</v>
      </c>
      <c r="C86" s="4" t="s">
        <v>10</v>
      </c>
      <c r="D86" s="4" t="s">
        <v>146</v>
      </c>
      <c r="E86" s="198" t="s">
        <v>448</v>
      </c>
      <c r="F86" s="198" t="s">
        <v>449</v>
      </c>
      <c r="G86" s="4" t="s">
        <v>20</v>
      </c>
      <c r="H86" s="4" t="s">
        <v>171</v>
      </c>
      <c r="I86" s="198" t="s">
        <v>450</v>
      </c>
      <c r="J86" s="198" t="s">
        <v>451</v>
      </c>
      <c r="K86" s="4" t="s">
        <v>1066</v>
      </c>
      <c r="L86" s="4" t="s">
        <v>1077</v>
      </c>
      <c r="M86" s="7">
        <v>10</v>
      </c>
      <c r="N86" s="7">
        <v>130</v>
      </c>
      <c r="O86" s="4"/>
      <c r="P86" s="4"/>
      <c r="Q86" s="4" t="s">
        <v>1071</v>
      </c>
      <c r="R86" s="4" t="s">
        <v>6</v>
      </c>
      <c r="S86" s="4" t="s">
        <v>420</v>
      </c>
      <c r="T86" s="4" t="s">
        <v>142</v>
      </c>
      <c r="U86" s="4" t="s">
        <v>510</v>
      </c>
      <c r="V86" s="4"/>
      <c r="W86" s="4"/>
      <c r="X86" s="4"/>
      <c r="Y86" s="24"/>
    </row>
    <row r="87" spans="1:25">
      <c r="A87" s="29" t="s">
        <v>409</v>
      </c>
      <c r="B87" s="4" t="s">
        <v>141</v>
      </c>
      <c r="C87" s="4" t="s">
        <v>10</v>
      </c>
      <c r="D87" s="4" t="s">
        <v>146</v>
      </c>
      <c r="E87" s="198" t="s">
        <v>448</v>
      </c>
      <c r="F87" s="198" t="s">
        <v>449</v>
      </c>
      <c r="G87" s="4" t="s">
        <v>20</v>
      </c>
      <c r="H87" s="4" t="s">
        <v>171</v>
      </c>
      <c r="I87" s="198" t="s">
        <v>450</v>
      </c>
      <c r="J87" s="198" t="s">
        <v>451</v>
      </c>
      <c r="K87" s="4" t="s">
        <v>1066</v>
      </c>
      <c r="L87" s="4" t="s">
        <v>1075</v>
      </c>
      <c r="M87" s="7">
        <v>16</v>
      </c>
      <c r="N87" s="7">
        <v>164</v>
      </c>
      <c r="O87" s="4"/>
      <c r="P87" s="4"/>
      <c r="Q87" s="4" t="s">
        <v>1070</v>
      </c>
      <c r="R87" s="4" t="s">
        <v>402</v>
      </c>
      <c r="S87" s="4" t="s">
        <v>500</v>
      </c>
      <c r="T87" s="4" t="s">
        <v>42</v>
      </c>
      <c r="U87" s="4" t="s">
        <v>501</v>
      </c>
      <c r="V87" s="4"/>
      <c r="W87" s="4"/>
      <c r="X87" s="4"/>
      <c r="Y87" s="24"/>
    </row>
    <row r="88" spans="1:25">
      <c r="A88" s="29" t="s">
        <v>409</v>
      </c>
      <c r="B88" s="4" t="s">
        <v>141</v>
      </c>
      <c r="C88" s="4" t="s">
        <v>10</v>
      </c>
      <c r="D88" s="4" t="s">
        <v>146</v>
      </c>
      <c r="E88" s="198" t="s">
        <v>448</v>
      </c>
      <c r="F88" s="198" t="s">
        <v>449</v>
      </c>
      <c r="G88" s="4" t="s">
        <v>20</v>
      </c>
      <c r="H88" s="4" t="s">
        <v>171</v>
      </c>
      <c r="I88" s="198" t="s">
        <v>450</v>
      </c>
      <c r="J88" s="198" t="s">
        <v>451</v>
      </c>
      <c r="K88" s="4" t="s">
        <v>1066</v>
      </c>
      <c r="L88" s="4" t="s">
        <v>1072</v>
      </c>
      <c r="M88" s="7">
        <v>23</v>
      </c>
      <c r="N88" s="7">
        <v>156</v>
      </c>
      <c r="O88" s="4"/>
      <c r="P88" s="4"/>
      <c r="Q88" s="4" t="s">
        <v>1071</v>
      </c>
      <c r="R88" s="4" t="s">
        <v>6</v>
      </c>
      <c r="S88" s="4" t="s">
        <v>420</v>
      </c>
      <c r="T88" s="4" t="s">
        <v>142</v>
      </c>
      <c r="U88" s="4"/>
      <c r="V88" s="4"/>
      <c r="W88" s="4"/>
      <c r="X88" s="4"/>
      <c r="Y88" s="24"/>
    </row>
    <row r="89" spans="1:25">
      <c r="A89" s="29" t="s">
        <v>409</v>
      </c>
      <c r="B89" s="4" t="s">
        <v>141</v>
      </c>
      <c r="C89" s="4" t="s">
        <v>10</v>
      </c>
      <c r="D89" s="4" t="s">
        <v>146</v>
      </c>
      <c r="E89" s="198" t="s">
        <v>448</v>
      </c>
      <c r="F89" s="198" t="s">
        <v>449</v>
      </c>
      <c r="G89" s="4" t="s">
        <v>136</v>
      </c>
      <c r="H89" s="4" t="s">
        <v>169</v>
      </c>
      <c r="I89" s="198" t="s">
        <v>456</v>
      </c>
      <c r="J89" s="198" t="s">
        <v>457</v>
      </c>
      <c r="K89" s="4" t="s">
        <v>1066</v>
      </c>
      <c r="L89" s="4" t="s">
        <v>1077</v>
      </c>
      <c r="M89" s="7">
        <v>2</v>
      </c>
      <c r="N89" s="7">
        <v>10</v>
      </c>
      <c r="O89" s="4"/>
      <c r="P89" s="4"/>
      <c r="Q89" s="4" t="s">
        <v>1071</v>
      </c>
      <c r="R89" s="4" t="s">
        <v>6</v>
      </c>
      <c r="S89" s="4" t="s">
        <v>420</v>
      </c>
      <c r="T89" s="4" t="s">
        <v>141</v>
      </c>
      <c r="U89" s="4" t="s">
        <v>409</v>
      </c>
      <c r="V89" s="4"/>
      <c r="W89" s="4"/>
      <c r="X89" s="4"/>
      <c r="Y89" s="24"/>
    </row>
    <row r="90" spans="1:25">
      <c r="A90" s="29" t="s">
        <v>409</v>
      </c>
      <c r="B90" s="4" t="s">
        <v>141</v>
      </c>
      <c r="C90" s="4" t="s">
        <v>10</v>
      </c>
      <c r="D90" s="4" t="s">
        <v>146</v>
      </c>
      <c r="E90" s="198" t="s">
        <v>448</v>
      </c>
      <c r="F90" s="198" t="s">
        <v>449</v>
      </c>
      <c r="G90" s="4" t="s">
        <v>31</v>
      </c>
      <c r="H90" s="4" t="s">
        <v>167</v>
      </c>
      <c r="I90" s="198" t="s">
        <v>452</v>
      </c>
      <c r="J90" s="198" t="s">
        <v>453</v>
      </c>
      <c r="K90" s="4" t="s">
        <v>1066</v>
      </c>
      <c r="L90" s="4" t="s">
        <v>1073</v>
      </c>
      <c r="M90" s="7">
        <v>404</v>
      </c>
      <c r="N90" s="7">
        <v>2020</v>
      </c>
      <c r="O90" s="4"/>
      <c r="P90" s="4"/>
      <c r="Q90" s="4" t="s">
        <v>1071</v>
      </c>
      <c r="R90" s="4" t="s">
        <v>6</v>
      </c>
      <c r="S90" s="4" t="s">
        <v>420</v>
      </c>
      <c r="T90" s="4" t="s">
        <v>141</v>
      </c>
      <c r="U90" s="4" t="s">
        <v>409</v>
      </c>
      <c r="V90" s="4"/>
      <c r="W90" s="4"/>
      <c r="X90" s="4"/>
      <c r="Y90" s="24"/>
    </row>
    <row r="91" spans="1:25">
      <c r="A91" s="29" t="s">
        <v>409</v>
      </c>
      <c r="B91" s="4" t="s">
        <v>141</v>
      </c>
      <c r="C91" s="4" t="s">
        <v>10</v>
      </c>
      <c r="D91" s="4" t="s">
        <v>146</v>
      </c>
      <c r="E91" s="198" t="s">
        <v>448</v>
      </c>
      <c r="F91" s="198" t="s">
        <v>449</v>
      </c>
      <c r="G91" s="4" t="s">
        <v>31</v>
      </c>
      <c r="H91" s="4" t="s">
        <v>167</v>
      </c>
      <c r="I91" s="198" t="s">
        <v>452</v>
      </c>
      <c r="J91" s="198" t="s">
        <v>453</v>
      </c>
      <c r="K91" s="4" t="s">
        <v>1066</v>
      </c>
      <c r="L91" s="4" t="s">
        <v>1074</v>
      </c>
      <c r="M91" s="7">
        <v>812</v>
      </c>
      <c r="N91" s="7">
        <v>4060</v>
      </c>
      <c r="O91" s="4"/>
      <c r="P91" s="4"/>
      <c r="Q91" s="4" t="s">
        <v>1071</v>
      </c>
      <c r="R91" s="4" t="s">
        <v>6</v>
      </c>
      <c r="S91" s="4" t="s">
        <v>420</v>
      </c>
      <c r="T91" s="4" t="s">
        <v>141</v>
      </c>
      <c r="U91" s="4" t="s">
        <v>409</v>
      </c>
      <c r="V91" s="4"/>
      <c r="W91" s="4"/>
      <c r="X91" s="4"/>
      <c r="Y91" s="24"/>
    </row>
    <row r="92" spans="1:25">
      <c r="A92" s="29" t="s">
        <v>409</v>
      </c>
      <c r="B92" s="4" t="s">
        <v>141</v>
      </c>
      <c r="C92" s="4" t="s">
        <v>10</v>
      </c>
      <c r="D92" s="4" t="s">
        <v>146</v>
      </c>
      <c r="E92" s="198" t="s">
        <v>448</v>
      </c>
      <c r="F92" s="198" t="s">
        <v>449</v>
      </c>
      <c r="G92" s="4" t="s">
        <v>31</v>
      </c>
      <c r="H92" s="4" t="s">
        <v>167</v>
      </c>
      <c r="I92" s="198" t="s">
        <v>452</v>
      </c>
      <c r="J92" s="198" t="s">
        <v>453</v>
      </c>
      <c r="K92" s="4" t="s">
        <v>1066</v>
      </c>
      <c r="L92" s="4" t="s">
        <v>1076</v>
      </c>
      <c r="M92" s="7">
        <v>10</v>
      </c>
      <c r="N92" s="7">
        <v>65</v>
      </c>
      <c r="O92" s="4"/>
      <c r="P92" s="4"/>
      <c r="Q92" s="4" t="s">
        <v>1071</v>
      </c>
      <c r="R92" s="4" t="s">
        <v>6</v>
      </c>
      <c r="S92" s="4" t="s">
        <v>420</v>
      </c>
      <c r="T92" s="4" t="s">
        <v>141</v>
      </c>
      <c r="U92" s="4" t="s">
        <v>409</v>
      </c>
      <c r="V92" s="4"/>
      <c r="W92" s="4"/>
      <c r="X92" s="4"/>
      <c r="Y92" s="24"/>
    </row>
    <row r="93" spans="1:25">
      <c r="A93" s="29" t="s">
        <v>409</v>
      </c>
      <c r="B93" s="4" t="s">
        <v>141</v>
      </c>
      <c r="C93" s="4" t="s">
        <v>10</v>
      </c>
      <c r="D93" s="4" t="s">
        <v>146</v>
      </c>
      <c r="E93" s="198" t="s">
        <v>448</v>
      </c>
      <c r="F93" s="198" t="s">
        <v>449</v>
      </c>
      <c r="G93" s="4" t="s">
        <v>31</v>
      </c>
      <c r="H93" s="4" t="s">
        <v>167</v>
      </c>
      <c r="I93" s="198" t="s">
        <v>452</v>
      </c>
      <c r="J93" s="198" t="s">
        <v>453</v>
      </c>
      <c r="K93" s="4" t="s">
        <v>1066</v>
      </c>
      <c r="L93" s="4" t="s">
        <v>1072</v>
      </c>
      <c r="M93" s="7">
        <v>43</v>
      </c>
      <c r="N93" s="7">
        <v>205</v>
      </c>
      <c r="O93" s="4"/>
      <c r="P93" s="4"/>
      <c r="Q93" s="4" t="s">
        <v>1071</v>
      </c>
      <c r="R93" s="4" t="s">
        <v>6</v>
      </c>
      <c r="S93" s="4" t="s">
        <v>420</v>
      </c>
      <c r="T93" s="4" t="s">
        <v>141</v>
      </c>
      <c r="U93" s="4" t="s">
        <v>409</v>
      </c>
      <c r="V93" s="4"/>
      <c r="W93" s="4"/>
      <c r="X93" s="4"/>
      <c r="Y93" s="24"/>
    </row>
    <row r="94" spans="1:25">
      <c r="A94" s="29" t="s">
        <v>409</v>
      </c>
      <c r="B94" s="4" t="s">
        <v>141</v>
      </c>
      <c r="C94" s="4" t="s">
        <v>10</v>
      </c>
      <c r="D94" s="4" t="s">
        <v>146</v>
      </c>
      <c r="E94" s="198" t="s">
        <v>448</v>
      </c>
      <c r="F94" s="198" t="s">
        <v>449</v>
      </c>
      <c r="G94" s="4" t="s">
        <v>17</v>
      </c>
      <c r="H94" s="4" t="s">
        <v>168</v>
      </c>
      <c r="I94" s="198" t="s">
        <v>454</v>
      </c>
      <c r="J94" s="198" t="s">
        <v>455</v>
      </c>
      <c r="K94" s="4" t="s">
        <v>1066</v>
      </c>
      <c r="L94" s="4" t="s">
        <v>1072</v>
      </c>
      <c r="M94" s="7">
        <v>25</v>
      </c>
      <c r="N94" s="7">
        <v>125</v>
      </c>
      <c r="O94" s="4"/>
      <c r="P94" s="4"/>
      <c r="Q94" s="4" t="s">
        <v>1071</v>
      </c>
      <c r="R94" s="4" t="s">
        <v>6</v>
      </c>
      <c r="S94" s="4" t="s">
        <v>420</v>
      </c>
      <c r="T94" s="4" t="s">
        <v>141</v>
      </c>
      <c r="U94" s="4" t="s">
        <v>409</v>
      </c>
      <c r="V94" s="4"/>
      <c r="W94" s="4"/>
      <c r="X94" s="4"/>
      <c r="Y94" s="24"/>
    </row>
    <row r="95" spans="1:25">
      <c r="A95" s="29" t="s">
        <v>409</v>
      </c>
      <c r="B95" s="4" t="s">
        <v>141</v>
      </c>
      <c r="C95" s="4" t="s">
        <v>10</v>
      </c>
      <c r="D95" s="4" t="s">
        <v>146</v>
      </c>
      <c r="E95" s="198" t="s">
        <v>448</v>
      </c>
      <c r="F95" s="198" t="s">
        <v>449</v>
      </c>
      <c r="G95" s="4" t="s">
        <v>29</v>
      </c>
      <c r="H95" s="4" t="s">
        <v>172</v>
      </c>
      <c r="I95" s="198" t="s">
        <v>458</v>
      </c>
      <c r="J95" s="198" t="s">
        <v>459</v>
      </c>
      <c r="K95" s="4" t="s">
        <v>1066</v>
      </c>
      <c r="L95" s="4" t="s">
        <v>1077</v>
      </c>
      <c r="M95" s="7">
        <v>3</v>
      </c>
      <c r="N95" s="7">
        <v>17</v>
      </c>
      <c r="O95" s="4"/>
      <c r="P95" s="4"/>
      <c r="Q95" s="4" t="s">
        <v>1071</v>
      </c>
      <c r="R95" s="4" t="s">
        <v>6</v>
      </c>
      <c r="S95" s="4" t="s">
        <v>420</v>
      </c>
      <c r="T95" s="4" t="s">
        <v>141</v>
      </c>
      <c r="U95" s="4" t="s">
        <v>409</v>
      </c>
      <c r="V95" s="4"/>
      <c r="W95" s="4"/>
      <c r="X95" s="4"/>
      <c r="Y95" s="24"/>
    </row>
    <row r="96" spans="1:25">
      <c r="A96" s="199" t="s">
        <v>1225</v>
      </c>
      <c r="B96" s="137" t="s">
        <v>141</v>
      </c>
      <c r="C96" s="4" t="s">
        <v>10</v>
      </c>
      <c r="D96" s="4" t="s">
        <v>146</v>
      </c>
      <c r="E96" s="198">
        <v>15.1673049098147</v>
      </c>
      <c r="F96" s="198">
        <v>10.5022992912047</v>
      </c>
      <c r="G96" s="4" t="s">
        <v>137</v>
      </c>
      <c r="H96" s="4" t="s">
        <v>170</v>
      </c>
      <c r="I96" s="198">
        <v>15.31</v>
      </c>
      <c r="J96" s="198">
        <v>10.09</v>
      </c>
      <c r="K96" s="4" t="s">
        <v>1066</v>
      </c>
      <c r="L96" s="4" t="s">
        <v>1074</v>
      </c>
      <c r="M96" s="7">
        <v>320</v>
      </c>
      <c r="N96" s="7">
        <v>1495</v>
      </c>
      <c r="O96" s="4"/>
      <c r="P96" s="4"/>
      <c r="Q96" s="4" t="s">
        <v>1226</v>
      </c>
      <c r="R96" s="4" t="s">
        <v>403</v>
      </c>
      <c r="S96" s="40" t="s">
        <v>502</v>
      </c>
      <c r="T96" s="4" t="s">
        <v>43</v>
      </c>
      <c r="U96" s="40" t="s">
        <v>504</v>
      </c>
      <c r="V96" s="4" t="s">
        <v>43</v>
      </c>
      <c r="W96" s="4"/>
      <c r="X96" s="4" t="s">
        <v>1228</v>
      </c>
      <c r="Y96" s="24"/>
    </row>
    <row r="97" spans="1:25">
      <c r="A97" s="199" t="s">
        <v>1225</v>
      </c>
      <c r="B97" s="137" t="s">
        <v>141</v>
      </c>
      <c r="C97" s="4" t="s">
        <v>10</v>
      </c>
      <c r="D97" s="4" t="s">
        <v>146</v>
      </c>
      <c r="E97" s="198">
        <v>15.1673049098147</v>
      </c>
      <c r="F97" s="198">
        <v>10.5022992912047</v>
      </c>
      <c r="G97" s="4" t="s">
        <v>136</v>
      </c>
      <c r="H97" s="4" t="s">
        <v>169</v>
      </c>
      <c r="I97" s="198">
        <v>15.1379772569768</v>
      </c>
      <c r="J97" s="198">
        <v>10.4758260817755</v>
      </c>
      <c r="K97" s="4" t="s">
        <v>1066</v>
      </c>
      <c r="L97" s="4" t="s">
        <v>1074</v>
      </c>
      <c r="M97" s="7">
        <v>10</v>
      </c>
      <c r="N97" s="7">
        <v>50</v>
      </c>
      <c r="O97" s="4"/>
      <c r="P97" s="4"/>
      <c r="Q97" s="4" t="s">
        <v>1226</v>
      </c>
      <c r="R97" s="4" t="s">
        <v>403</v>
      </c>
      <c r="S97" s="40" t="s">
        <v>502</v>
      </c>
      <c r="T97" s="4" t="s">
        <v>43</v>
      </c>
      <c r="U97" s="40" t="s">
        <v>504</v>
      </c>
      <c r="V97" s="4" t="s">
        <v>43</v>
      </c>
      <c r="W97" s="4"/>
      <c r="X97" s="4" t="s">
        <v>1228</v>
      </c>
      <c r="Y97" s="24"/>
    </row>
    <row r="98" spans="1:25">
      <c r="A98" s="199" t="s">
        <v>1225</v>
      </c>
      <c r="B98" s="137" t="s">
        <v>141</v>
      </c>
      <c r="C98" s="4" t="s">
        <v>10</v>
      </c>
      <c r="D98" s="4" t="s">
        <v>146</v>
      </c>
      <c r="E98" s="198">
        <v>15.1673049098147</v>
      </c>
      <c r="F98" s="198">
        <v>10.5022992912047</v>
      </c>
      <c r="G98" s="4" t="s">
        <v>136</v>
      </c>
      <c r="H98" s="4" t="s">
        <v>169</v>
      </c>
      <c r="I98" s="198">
        <v>15.1379772569768</v>
      </c>
      <c r="J98" s="198">
        <v>10.4758260817755</v>
      </c>
      <c r="K98" s="4" t="s">
        <v>1066</v>
      </c>
      <c r="L98" s="4" t="s">
        <v>1073</v>
      </c>
      <c r="M98" s="7">
        <v>15</v>
      </c>
      <c r="N98" s="7">
        <v>75</v>
      </c>
      <c r="O98" s="4"/>
      <c r="P98" s="4"/>
      <c r="Q98" s="4" t="s">
        <v>1226</v>
      </c>
      <c r="R98" s="4" t="s">
        <v>403</v>
      </c>
      <c r="S98" s="40" t="s">
        <v>502</v>
      </c>
      <c r="T98" s="4" t="s">
        <v>43</v>
      </c>
      <c r="U98" s="40" t="s">
        <v>504</v>
      </c>
      <c r="V98" s="4" t="s">
        <v>43</v>
      </c>
      <c r="W98" s="4"/>
      <c r="X98" s="4" t="s">
        <v>1228</v>
      </c>
      <c r="Y98" s="24"/>
    </row>
    <row r="99" spans="1:25">
      <c r="A99" s="199" t="s">
        <v>1225</v>
      </c>
      <c r="B99" s="137" t="s">
        <v>141</v>
      </c>
      <c r="C99" s="4" t="s">
        <v>10</v>
      </c>
      <c r="D99" s="4" t="s">
        <v>146</v>
      </c>
      <c r="E99" s="198">
        <v>15.1673049098147</v>
      </c>
      <c r="F99" s="198">
        <v>10.5022992912047</v>
      </c>
      <c r="G99" s="4" t="s">
        <v>136</v>
      </c>
      <c r="H99" s="4" t="s">
        <v>169</v>
      </c>
      <c r="I99" s="198">
        <v>15.1379772569768</v>
      </c>
      <c r="J99" s="198">
        <v>10.4758260817755</v>
      </c>
      <c r="K99" s="4" t="s">
        <v>1066</v>
      </c>
      <c r="L99" s="4" t="s">
        <v>1072</v>
      </c>
      <c r="M99" s="7">
        <v>10</v>
      </c>
      <c r="N99" s="7">
        <v>50</v>
      </c>
      <c r="O99" s="4"/>
      <c r="P99" s="4"/>
      <c r="Q99" s="4" t="s">
        <v>1226</v>
      </c>
      <c r="R99" s="4" t="s">
        <v>403</v>
      </c>
      <c r="S99" s="4"/>
      <c r="T99" s="4" t="s">
        <v>43</v>
      </c>
      <c r="U99" s="40" t="s">
        <v>504</v>
      </c>
      <c r="V99" s="4" t="s">
        <v>43</v>
      </c>
      <c r="W99" s="4"/>
      <c r="X99" s="4" t="s">
        <v>1228</v>
      </c>
      <c r="Y99" s="24"/>
    </row>
    <row r="100" spans="1:25">
      <c r="A100" s="29" t="s">
        <v>409</v>
      </c>
      <c r="B100" s="4" t="s">
        <v>141</v>
      </c>
      <c r="C100" s="4" t="s">
        <v>4</v>
      </c>
      <c r="D100" s="4" t="s">
        <v>147</v>
      </c>
      <c r="E100" s="198" t="s">
        <v>472</v>
      </c>
      <c r="F100" s="198" t="s">
        <v>473</v>
      </c>
      <c r="G100" s="4" t="s">
        <v>138</v>
      </c>
      <c r="H100" s="4" t="s">
        <v>173</v>
      </c>
      <c r="I100" s="92" t="s">
        <v>474</v>
      </c>
      <c r="J100" s="92" t="s">
        <v>475</v>
      </c>
      <c r="K100" s="4" t="s">
        <v>1</v>
      </c>
      <c r="L100" s="4" t="s">
        <v>1077</v>
      </c>
      <c r="M100" s="7">
        <v>2</v>
      </c>
      <c r="N100" s="7">
        <v>19</v>
      </c>
      <c r="O100" s="4" t="s">
        <v>1099</v>
      </c>
      <c r="P100" s="4"/>
      <c r="Q100" s="4" t="s">
        <v>1067</v>
      </c>
      <c r="R100" s="4" t="s">
        <v>6</v>
      </c>
      <c r="S100" s="4" t="s">
        <v>420</v>
      </c>
      <c r="T100" s="4" t="s">
        <v>141</v>
      </c>
      <c r="U100" s="4" t="s">
        <v>409</v>
      </c>
      <c r="V100" s="4" t="s">
        <v>148</v>
      </c>
      <c r="W100" s="4" t="s">
        <v>27</v>
      </c>
      <c r="X100" s="4"/>
      <c r="Y100" s="24"/>
    </row>
    <row r="101" spans="1:25">
      <c r="A101" s="29" t="s">
        <v>409</v>
      </c>
      <c r="B101" s="4" t="s">
        <v>141</v>
      </c>
      <c r="C101" s="4" t="s">
        <v>4</v>
      </c>
      <c r="D101" s="4" t="s">
        <v>147</v>
      </c>
      <c r="E101" s="198" t="s">
        <v>472</v>
      </c>
      <c r="F101" s="198" t="s">
        <v>473</v>
      </c>
      <c r="G101" s="4" t="s">
        <v>138</v>
      </c>
      <c r="H101" s="4" t="s">
        <v>173</v>
      </c>
      <c r="I101" s="92" t="s">
        <v>474</v>
      </c>
      <c r="J101" s="92" t="s">
        <v>475</v>
      </c>
      <c r="K101" s="4" t="s">
        <v>1</v>
      </c>
      <c r="L101" s="4" t="s">
        <v>1073</v>
      </c>
      <c r="M101" s="7">
        <v>2</v>
      </c>
      <c r="N101" s="7">
        <v>12</v>
      </c>
      <c r="O101" s="4" t="s">
        <v>1099</v>
      </c>
      <c r="P101" s="4"/>
      <c r="Q101" s="4" t="s">
        <v>1067</v>
      </c>
      <c r="R101" s="4" t="s">
        <v>6</v>
      </c>
      <c r="S101" s="4" t="s">
        <v>420</v>
      </c>
      <c r="T101" s="4" t="s">
        <v>141</v>
      </c>
      <c r="U101" s="4" t="s">
        <v>409</v>
      </c>
      <c r="V101" s="4" t="s">
        <v>148</v>
      </c>
      <c r="W101" s="4" t="s">
        <v>27</v>
      </c>
      <c r="X101" s="4"/>
      <c r="Y101" s="24"/>
    </row>
    <row r="102" spans="1:25">
      <c r="A102" s="29" t="s">
        <v>409</v>
      </c>
      <c r="B102" s="4" t="s">
        <v>141</v>
      </c>
      <c r="C102" s="4" t="s">
        <v>4</v>
      </c>
      <c r="D102" s="4" t="s">
        <v>147</v>
      </c>
      <c r="E102" s="198" t="s">
        <v>472</v>
      </c>
      <c r="F102" s="198" t="s">
        <v>473</v>
      </c>
      <c r="G102" s="4" t="s">
        <v>22</v>
      </c>
      <c r="H102" s="4" t="s">
        <v>177</v>
      </c>
      <c r="I102" s="92" t="s">
        <v>484</v>
      </c>
      <c r="J102" s="92" t="s">
        <v>485</v>
      </c>
      <c r="K102" s="4" t="s">
        <v>1</v>
      </c>
      <c r="L102" s="4" t="s">
        <v>1072</v>
      </c>
      <c r="M102" s="7">
        <v>7</v>
      </c>
      <c r="N102" s="7">
        <v>30</v>
      </c>
      <c r="O102" s="4" t="s">
        <v>1078</v>
      </c>
      <c r="P102" s="4"/>
      <c r="Q102" s="4" t="s">
        <v>1067</v>
      </c>
      <c r="R102" s="4" t="s">
        <v>6</v>
      </c>
      <c r="S102" s="4" t="s">
        <v>420</v>
      </c>
      <c r="T102" s="4" t="s">
        <v>141</v>
      </c>
      <c r="U102" s="4" t="s">
        <v>409</v>
      </c>
      <c r="V102" s="4" t="s">
        <v>148</v>
      </c>
      <c r="W102" s="4" t="s">
        <v>27</v>
      </c>
      <c r="X102" s="4"/>
      <c r="Y102" s="24"/>
    </row>
    <row r="103" spans="1:25">
      <c r="A103" s="29" t="s">
        <v>409</v>
      </c>
      <c r="B103" s="4" t="s">
        <v>141</v>
      </c>
      <c r="C103" s="4" t="s">
        <v>4</v>
      </c>
      <c r="D103" s="4" t="s">
        <v>147</v>
      </c>
      <c r="E103" s="198" t="s">
        <v>472</v>
      </c>
      <c r="F103" s="198" t="s">
        <v>473</v>
      </c>
      <c r="G103" s="4" t="s">
        <v>22</v>
      </c>
      <c r="H103" s="4" t="s">
        <v>177</v>
      </c>
      <c r="I103" s="92" t="s">
        <v>484</v>
      </c>
      <c r="J103" s="92" t="s">
        <v>485</v>
      </c>
      <c r="K103" s="4" t="s">
        <v>1</v>
      </c>
      <c r="L103" s="4" t="s">
        <v>1074</v>
      </c>
      <c r="M103" s="7">
        <v>2</v>
      </c>
      <c r="N103" s="7">
        <v>15</v>
      </c>
      <c r="O103" s="4" t="s">
        <v>1078</v>
      </c>
      <c r="P103" s="4"/>
      <c r="Q103" s="4" t="s">
        <v>1067</v>
      </c>
      <c r="R103" s="4" t="s">
        <v>6</v>
      </c>
      <c r="S103" s="4" t="s">
        <v>420</v>
      </c>
      <c r="T103" s="4" t="s">
        <v>141</v>
      </c>
      <c r="U103" s="4" t="s">
        <v>409</v>
      </c>
      <c r="V103" s="4" t="s">
        <v>148</v>
      </c>
      <c r="W103" s="4" t="s">
        <v>27</v>
      </c>
      <c r="X103" s="4"/>
      <c r="Y103" s="24"/>
    </row>
    <row r="104" spans="1:25">
      <c r="A104" s="29" t="s">
        <v>409</v>
      </c>
      <c r="B104" s="4" t="s">
        <v>141</v>
      </c>
      <c r="C104" s="4" t="s">
        <v>4</v>
      </c>
      <c r="D104" s="4" t="s">
        <v>147</v>
      </c>
      <c r="E104" s="198" t="s">
        <v>472</v>
      </c>
      <c r="F104" s="198" t="s">
        <v>473</v>
      </c>
      <c r="G104" s="4" t="s">
        <v>38</v>
      </c>
      <c r="H104" s="4" t="s">
        <v>175</v>
      </c>
      <c r="I104" s="92" t="s">
        <v>476</v>
      </c>
      <c r="J104" s="92" t="s">
        <v>477</v>
      </c>
      <c r="K104" s="4" t="s">
        <v>1</v>
      </c>
      <c r="L104" s="4" t="s">
        <v>1076</v>
      </c>
      <c r="M104" s="7">
        <v>12</v>
      </c>
      <c r="N104" s="7">
        <v>60</v>
      </c>
      <c r="O104" s="4" t="s">
        <v>1099</v>
      </c>
      <c r="P104" s="4"/>
      <c r="Q104" s="4" t="s">
        <v>1067</v>
      </c>
      <c r="R104" s="4" t="s">
        <v>6</v>
      </c>
      <c r="S104" s="4" t="s">
        <v>420</v>
      </c>
      <c r="T104" s="4" t="s">
        <v>141</v>
      </c>
      <c r="U104" s="4" t="s">
        <v>409</v>
      </c>
      <c r="V104" s="4" t="s">
        <v>148</v>
      </c>
      <c r="W104" s="4" t="s">
        <v>27</v>
      </c>
      <c r="X104" s="4"/>
      <c r="Y104" s="24"/>
    </row>
    <row r="105" spans="1:25">
      <c r="A105" s="29" t="s">
        <v>409</v>
      </c>
      <c r="B105" s="4" t="s">
        <v>141</v>
      </c>
      <c r="C105" s="4" t="s">
        <v>4</v>
      </c>
      <c r="D105" s="4" t="s">
        <v>147</v>
      </c>
      <c r="E105" s="198" t="s">
        <v>472</v>
      </c>
      <c r="F105" s="198" t="s">
        <v>473</v>
      </c>
      <c r="G105" s="4" t="s">
        <v>38</v>
      </c>
      <c r="H105" s="4" t="s">
        <v>175</v>
      </c>
      <c r="I105" s="92" t="s">
        <v>476</v>
      </c>
      <c r="J105" s="92" t="s">
        <v>477</v>
      </c>
      <c r="K105" s="4" t="s">
        <v>1</v>
      </c>
      <c r="L105" s="4" t="s">
        <v>1073</v>
      </c>
      <c r="M105" s="7">
        <v>19</v>
      </c>
      <c r="N105" s="7">
        <v>97</v>
      </c>
      <c r="O105" s="4" t="s">
        <v>1099</v>
      </c>
      <c r="P105" s="4"/>
      <c r="Q105" s="4" t="s">
        <v>1067</v>
      </c>
      <c r="R105" s="4" t="s">
        <v>6</v>
      </c>
      <c r="S105" s="4" t="s">
        <v>420</v>
      </c>
      <c r="T105" s="4" t="s">
        <v>141</v>
      </c>
      <c r="U105" s="4" t="s">
        <v>409</v>
      </c>
      <c r="V105" s="4" t="s">
        <v>148</v>
      </c>
      <c r="W105" s="4" t="s">
        <v>27</v>
      </c>
      <c r="X105" s="4"/>
      <c r="Y105" s="24"/>
    </row>
    <row r="106" spans="1:25">
      <c r="A106" s="29" t="s">
        <v>409</v>
      </c>
      <c r="B106" s="4" t="s">
        <v>141</v>
      </c>
      <c r="C106" s="4" t="s">
        <v>4</v>
      </c>
      <c r="D106" s="4" t="s">
        <v>147</v>
      </c>
      <c r="E106" s="198" t="s">
        <v>472</v>
      </c>
      <c r="F106" s="198" t="s">
        <v>473</v>
      </c>
      <c r="G106" s="4" t="s">
        <v>38</v>
      </c>
      <c r="H106" s="4" t="s">
        <v>175</v>
      </c>
      <c r="I106" s="92" t="s">
        <v>476</v>
      </c>
      <c r="J106" s="92" t="s">
        <v>477</v>
      </c>
      <c r="K106" s="4" t="s">
        <v>1</v>
      </c>
      <c r="L106" s="4" t="s">
        <v>1077</v>
      </c>
      <c r="M106" s="7">
        <v>5</v>
      </c>
      <c r="N106" s="7">
        <v>25</v>
      </c>
      <c r="O106" s="4" t="s">
        <v>1099</v>
      </c>
      <c r="P106" s="4"/>
      <c r="Q106" s="4" t="s">
        <v>1067</v>
      </c>
      <c r="R106" s="4" t="s">
        <v>6</v>
      </c>
      <c r="S106" s="4" t="s">
        <v>420</v>
      </c>
      <c r="T106" s="4" t="s">
        <v>141</v>
      </c>
      <c r="U106" s="4" t="s">
        <v>409</v>
      </c>
      <c r="V106" s="4" t="s">
        <v>149</v>
      </c>
      <c r="W106" s="4" t="s">
        <v>2</v>
      </c>
      <c r="X106" s="4"/>
      <c r="Y106" s="24"/>
    </row>
    <row r="107" spans="1:25">
      <c r="A107" s="29" t="s">
        <v>409</v>
      </c>
      <c r="B107" s="4" t="s">
        <v>141</v>
      </c>
      <c r="C107" s="4" t="s">
        <v>4</v>
      </c>
      <c r="D107" s="4" t="s">
        <v>147</v>
      </c>
      <c r="E107" s="198" t="s">
        <v>472</v>
      </c>
      <c r="F107" s="198" t="s">
        <v>473</v>
      </c>
      <c r="G107" s="4" t="s">
        <v>5</v>
      </c>
      <c r="H107" s="4" t="s">
        <v>174</v>
      </c>
      <c r="I107" s="92" t="s">
        <v>505</v>
      </c>
      <c r="J107" s="92" t="s">
        <v>506</v>
      </c>
      <c r="K107" s="4" t="s">
        <v>1065</v>
      </c>
      <c r="L107" s="4" t="s">
        <v>1074</v>
      </c>
      <c r="M107" s="7">
        <v>2</v>
      </c>
      <c r="N107" s="7">
        <v>10</v>
      </c>
      <c r="O107" s="75" t="s">
        <v>1096</v>
      </c>
      <c r="P107" s="4"/>
      <c r="Q107" s="4" t="s">
        <v>1070</v>
      </c>
      <c r="R107" s="4" t="s">
        <v>13</v>
      </c>
      <c r="S107" s="4" t="s">
        <v>507</v>
      </c>
      <c r="T107" s="4" t="s">
        <v>508</v>
      </c>
      <c r="U107" s="4" t="s">
        <v>509</v>
      </c>
      <c r="V107" s="4"/>
      <c r="W107" s="4"/>
      <c r="X107" s="4"/>
      <c r="Y107" s="24"/>
    </row>
    <row r="108" spans="1:25">
      <c r="A108" s="29" t="s">
        <v>409</v>
      </c>
      <c r="B108" s="4" t="s">
        <v>141</v>
      </c>
      <c r="C108" s="4" t="s">
        <v>4</v>
      </c>
      <c r="D108" s="4" t="s">
        <v>147</v>
      </c>
      <c r="E108" s="198" t="s">
        <v>472</v>
      </c>
      <c r="F108" s="198" t="s">
        <v>473</v>
      </c>
      <c r="G108" s="4" t="s">
        <v>38</v>
      </c>
      <c r="H108" s="4" t="s">
        <v>175</v>
      </c>
      <c r="I108" s="92" t="s">
        <v>476</v>
      </c>
      <c r="J108" s="92" t="s">
        <v>477</v>
      </c>
      <c r="K108" s="4" t="s">
        <v>1065</v>
      </c>
      <c r="L108" s="4" t="s">
        <v>1073</v>
      </c>
      <c r="M108" s="7">
        <v>1</v>
      </c>
      <c r="N108" s="7">
        <v>2</v>
      </c>
      <c r="O108" s="4" t="s">
        <v>1099</v>
      </c>
      <c r="P108" s="4"/>
      <c r="Q108" s="4" t="s">
        <v>1070</v>
      </c>
      <c r="R108" s="4" t="s">
        <v>402</v>
      </c>
      <c r="S108" s="4" t="s">
        <v>500</v>
      </c>
      <c r="T108" s="4" t="s">
        <v>42</v>
      </c>
      <c r="U108" s="4" t="s">
        <v>501</v>
      </c>
      <c r="V108" s="4"/>
      <c r="W108" s="4"/>
      <c r="X108" s="4"/>
      <c r="Y108" s="24"/>
    </row>
    <row r="109" spans="1:25">
      <c r="A109" s="29" t="s">
        <v>409</v>
      </c>
      <c r="B109" s="4" t="s">
        <v>141</v>
      </c>
      <c r="C109" s="4" t="s">
        <v>4</v>
      </c>
      <c r="D109" s="4" t="s">
        <v>147</v>
      </c>
      <c r="E109" s="198" t="s">
        <v>472</v>
      </c>
      <c r="F109" s="198" t="s">
        <v>473</v>
      </c>
      <c r="G109" s="4" t="s">
        <v>138</v>
      </c>
      <c r="H109" s="4" t="s">
        <v>173</v>
      </c>
      <c r="I109" s="198" t="s">
        <v>474</v>
      </c>
      <c r="J109" s="198" t="s">
        <v>475</v>
      </c>
      <c r="K109" s="4" t="s">
        <v>1066</v>
      </c>
      <c r="L109" s="4" t="s">
        <v>1073</v>
      </c>
      <c r="M109" s="7">
        <v>1</v>
      </c>
      <c r="N109" s="7">
        <v>13</v>
      </c>
      <c r="O109" s="4"/>
      <c r="P109" s="4"/>
      <c r="Q109" s="4" t="s">
        <v>1070</v>
      </c>
      <c r="R109" s="4" t="s">
        <v>13</v>
      </c>
      <c r="S109" s="4" t="s">
        <v>507</v>
      </c>
      <c r="T109" s="4" t="s">
        <v>404</v>
      </c>
      <c r="U109" s="4"/>
      <c r="V109" s="4"/>
      <c r="W109" s="4"/>
      <c r="X109" s="4"/>
      <c r="Y109" s="24"/>
    </row>
    <row r="110" spans="1:25">
      <c r="A110" s="29" t="s">
        <v>409</v>
      </c>
      <c r="B110" s="4" t="s">
        <v>141</v>
      </c>
      <c r="C110" s="4" t="s">
        <v>4</v>
      </c>
      <c r="D110" s="4" t="s">
        <v>147</v>
      </c>
      <c r="E110" s="198" t="s">
        <v>472</v>
      </c>
      <c r="F110" s="198" t="s">
        <v>473</v>
      </c>
      <c r="G110" s="4" t="s">
        <v>90</v>
      </c>
      <c r="H110" s="4" t="s">
        <v>176</v>
      </c>
      <c r="I110" s="198" t="s">
        <v>514</v>
      </c>
      <c r="J110" s="198" t="s">
        <v>515</v>
      </c>
      <c r="K110" s="4" t="s">
        <v>1066</v>
      </c>
      <c r="L110" s="4" t="s">
        <v>1076</v>
      </c>
      <c r="M110" s="7">
        <v>4</v>
      </c>
      <c r="N110" s="7">
        <v>26</v>
      </c>
      <c r="O110" s="4"/>
      <c r="P110" s="4"/>
      <c r="Q110" s="4" t="s">
        <v>1071</v>
      </c>
      <c r="R110" s="4" t="s">
        <v>6</v>
      </c>
      <c r="S110" s="4" t="s">
        <v>420</v>
      </c>
      <c r="T110" s="4" t="s">
        <v>141</v>
      </c>
      <c r="U110" s="4" t="s">
        <v>409</v>
      </c>
      <c r="V110" s="4"/>
      <c r="W110" s="4"/>
      <c r="X110" s="4"/>
      <c r="Y110" s="24"/>
    </row>
    <row r="111" spans="1:25">
      <c r="A111" s="29" t="s">
        <v>409</v>
      </c>
      <c r="B111" s="4" t="s">
        <v>141</v>
      </c>
      <c r="C111" s="4" t="s">
        <v>4</v>
      </c>
      <c r="D111" s="4" t="s">
        <v>147</v>
      </c>
      <c r="E111" s="198" t="s">
        <v>472</v>
      </c>
      <c r="F111" s="198" t="s">
        <v>473</v>
      </c>
      <c r="G111" s="4" t="s">
        <v>90</v>
      </c>
      <c r="H111" s="4" t="s">
        <v>176</v>
      </c>
      <c r="I111" s="198" t="s">
        <v>514</v>
      </c>
      <c r="J111" s="198" t="s">
        <v>515</v>
      </c>
      <c r="K111" s="4" t="s">
        <v>1066</v>
      </c>
      <c r="L111" s="4" t="s">
        <v>1072</v>
      </c>
      <c r="M111" s="7">
        <v>2</v>
      </c>
      <c r="N111" s="7">
        <v>10</v>
      </c>
      <c r="O111" s="4"/>
      <c r="P111" s="4"/>
      <c r="Q111" s="4" t="s">
        <v>1071</v>
      </c>
      <c r="R111" s="4" t="s">
        <v>6</v>
      </c>
      <c r="S111" s="4" t="s">
        <v>420</v>
      </c>
      <c r="T111" s="4" t="s">
        <v>141</v>
      </c>
      <c r="U111" s="4" t="s">
        <v>409</v>
      </c>
      <c r="V111" s="4"/>
      <c r="W111" s="4"/>
      <c r="X111" s="4"/>
      <c r="Y111" s="24"/>
    </row>
    <row r="112" spans="1:25">
      <c r="A112" s="29" t="s">
        <v>409</v>
      </c>
      <c r="B112" s="4" t="s">
        <v>141</v>
      </c>
      <c r="C112" s="4" t="s">
        <v>4</v>
      </c>
      <c r="D112" s="4" t="s">
        <v>147</v>
      </c>
      <c r="E112" s="198" t="s">
        <v>472</v>
      </c>
      <c r="F112" s="198" t="s">
        <v>473</v>
      </c>
      <c r="G112" s="4" t="s">
        <v>22</v>
      </c>
      <c r="H112" s="4" t="s">
        <v>177</v>
      </c>
      <c r="I112" s="198" t="s">
        <v>484</v>
      </c>
      <c r="J112" s="198" t="s">
        <v>485</v>
      </c>
      <c r="K112" s="4" t="s">
        <v>1066</v>
      </c>
      <c r="L112" s="4" t="s">
        <v>1075</v>
      </c>
      <c r="M112" s="7">
        <v>4</v>
      </c>
      <c r="N112" s="7">
        <v>20</v>
      </c>
      <c r="O112" s="4"/>
      <c r="P112" s="4"/>
      <c r="Q112" s="4" t="s">
        <v>1071</v>
      </c>
      <c r="R112" s="4" t="s">
        <v>6</v>
      </c>
      <c r="S112" s="4" t="s">
        <v>420</v>
      </c>
      <c r="T112" s="4" t="s">
        <v>141</v>
      </c>
      <c r="U112" s="4" t="s">
        <v>409</v>
      </c>
      <c r="V112" s="4"/>
      <c r="W112" s="4"/>
      <c r="X112" s="4"/>
      <c r="Y112" s="24"/>
    </row>
    <row r="113" spans="1:25">
      <c r="A113" s="29" t="s">
        <v>409</v>
      </c>
      <c r="B113" s="4" t="s">
        <v>141</v>
      </c>
      <c r="C113" s="4" t="s">
        <v>4</v>
      </c>
      <c r="D113" s="4" t="s">
        <v>147</v>
      </c>
      <c r="E113" s="198" t="s">
        <v>472</v>
      </c>
      <c r="F113" s="198" t="s">
        <v>473</v>
      </c>
      <c r="G113" s="4" t="s">
        <v>5</v>
      </c>
      <c r="H113" s="4" t="s">
        <v>174</v>
      </c>
      <c r="I113" s="198" t="s">
        <v>505</v>
      </c>
      <c r="J113" s="198" t="s">
        <v>506</v>
      </c>
      <c r="K113" s="4" t="s">
        <v>1066</v>
      </c>
      <c r="L113" s="4" t="s">
        <v>1075</v>
      </c>
      <c r="M113" s="7">
        <v>3</v>
      </c>
      <c r="N113" s="7">
        <v>15</v>
      </c>
      <c r="O113" s="4"/>
      <c r="P113" s="4"/>
      <c r="Q113" s="4" t="s">
        <v>1070</v>
      </c>
      <c r="R113" s="4" t="s">
        <v>402</v>
      </c>
      <c r="S113" s="4" t="s">
        <v>500</v>
      </c>
      <c r="T113" s="4" t="s">
        <v>42</v>
      </c>
      <c r="U113" s="4" t="s">
        <v>501</v>
      </c>
      <c r="V113" s="4"/>
      <c r="W113" s="4"/>
      <c r="X113" s="4"/>
      <c r="Y113" s="24"/>
    </row>
    <row r="114" spans="1:25">
      <c r="A114" s="29" t="s">
        <v>409</v>
      </c>
      <c r="B114" s="4" t="s">
        <v>141</v>
      </c>
      <c r="C114" s="4" t="s">
        <v>4</v>
      </c>
      <c r="D114" s="4" t="s">
        <v>147</v>
      </c>
      <c r="E114" s="198" t="s">
        <v>472</v>
      </c>
      <c r="F114" s="198" t="s">
        <v>473</v>
      </c>
      <c r="G114" s="4" t="s">
        <v>5</v>
      </c>
      <c r="H114" s="4" t="s">
        <v>174</v>
      </c>
      <c r="I114" s="198" t="s">
        <v>505</v>
      </c>
      <c r="J114" s="198" t="s">
        <v>506</v>
      </c>
      <c r="K114" s="4" t="s">
        <v>1066</v>
      </c>
      <c r="L114" s="4" t="s">
        <v>1076</v>
      </c>
      <c r="M114" s="7">
        <v>11</v>
      </c>
      <c r="N114" s="7">
        <v>55</v>
      </c>
      <c r="O114" s="4"/>
      <c r="P114" s="4"/>
      <c r="Q114" s="4" t="s">
        <v>1070</v>
      </c>
      <c r="R114" s="4" t="s">
        <v>402</v>
      </c>
      <c r="S114" s="4" t="s">
        <v>500</v>
      </c>
      <c r="T114" s="4" t="s">
        <v>42</v>
      </c>
      <c r="U114" s="4" t="s">
        <v>501</v>
      </c>
      <c r="V114" s="4"/>
      <c r="W114" s="4"/>
      <c r="X114" s="4"/>
      <c r="Y114" s="24"/>
    </row>
    <row r="115" spans="1:25">
      <c r="A115" s="29" t="s">
        <v>409</v>
      </c>
      <c r="B115" s="4" t="s">
        <v>141</v>
      </c>
      <c r="C115" s="4" t="s">
        <v>4</v>
      </c>
      <c r="D115" s="4" t="s">
        <v>147</v>
      </c>
      <c r="E115" s="198" t="s">
        <v>472</v>
      </c>
      <c r="F115" s="198" t="s">
        <v>473</v>
      </c>
      <c r="G115" s="4" t="s">
        <v>5</v>
      </c>
      <c r="H115" s="4" t="s">
        <v>174</v>
      </c>
      <c r="I115" s="198" t="s">
        <v>505</v>
      </c>
      <c r="J115" s="198" t="s">
        <v>506</v>
      </c>
      <c r="K115" s="4" t="s">
        <v>1066</v>
      </c>
      <c r="L115" s="4" t="s">
        <v>1072</v>
      </c>
      <c r="M115" s="7">
        <v>4</v>
      </c>
      <c r="N115" s="7">
        <v>20</v>
      </c>
      <c r="O115" s="4"/>
      <c r="P115" s="4"/>
      <c r="Q115" s="4" t="s">
        <v>1070</v>
      </c>
      <c r="R115" s="4" t="s">
        <v>402</v>
      </c>
      <c r="S115" s="4" t="s">
        <v>500</v>
      </c>
      <c r="T115" s="4" t="s">
        <v>42</v>
      </c>
      <c r="U115" s="4" t="s">
        <v>501</v>
      </c>
      <c r="V115" s="4"/>
      <c r="W115" s="4"/>
      <c r="X115" s="4"/>
      <c r="Y115" s="24"/>
    </row>
    <row r="116" spans="1:25">
      <c r="A116" s="29" t="s">
        <v>409</v>
      </c>
      <c r="B116" s="4" t="s">
        <v>141</v>
      </c>
      <c r="C116" s="4" t="s">
        <v>4</v>
      </c>
      <c r="D116" s="4" t="s">
        <v>147</v>
      </c>
      <c r="E116" s="198" t="s">
        <v>472</v>
      </c>
      <c r="F116" s="198" t="s">
        <v>473</v>
      </c>
      <c r="G116" s="4" t="s">
        <v>5</v>
      </c>
      <c r="H116" s="4" t="s">
        <v>174</v>
      </c>
      <c r="I116" s="198" t="s">
        <v>505</v>
      </c>
      <c r="J116" s="198" t="s">
        <v>506</v>
      </c>
      <c r="K116" s="4" t="s">
        <v>1066</v>
      </c>
      <c r="L116" s="4" t="s">
        <v>1073</v>
      </c>
      <c r="M116" s="7">
        <v>2</v>
      </c>
      <c r="N116" s="7">
        <v>10</v>
      </c>
      <c r="O116" s="4"/>
      <c r="P116" s="4"/>
      <c r="Q116" s="4" t="s">
        <v>1070</v>
      </c>
      <c r="R116" s="4" t="s">
        <v>402</v>
      </c>
      <c r="S116" s="4" t="s">
        <v>500</v>
      </c>
      <c r="T116" s="4" t="s">
        <v>42</v>
      </c>
      <c r="U116" s="4" t="s">
        <v>501</v>
      </c>
      <c r="V116" s="4"/>
      <c r="W116" s="4"/>
      <c r="X116" s="4"/>
      <c r="Y116" s="24"/>
    </row>
    <row r="117" spans="1:25">
      <c r="A117" s="29" t="s">
        <v>409</v>
      </c>
      <c r="B117" s="4" t="s">
        <v>141</v>
      </c>
      <c r="C117" s="4" t="s">
        <v>4</v>
      </c>
      <c r="D117" s="4" t="s">
        <v>147</v>
      </c>
      <c r="E117" s="198" t="s">
        <v>472</v>
      </c>
      <c r="F117" s="198" t="s">
        <v>473</v>
      </c>
      <c r="G117" s="4" t="s">
        <v>38</v>
      </c>
      <c r="H117" s="4" t="s">
        <v>175</v>
      </c>
      <c r="I117" s="198" t="s">
        <v>476</v>
      </c>
      <c r="J117" s="198" t="s">
        <v>477</v>
      </c>
      <c r="K117" s="4" t="s">
        <v>1066</v>
      </c>
      <c r="L117" s="4" t="s">
        <v>1073</v>
      </c>
      <c r="M117" s="7">
        <v>4</v>
      </c>
      <c r="N117" s="7">
        <v>23</v>
      </c>
      <c r="O117" s="4"/>
      <c r="P117" s="4"/>
      <c r="Q117" s="4" t="s">
        <v>1071</v>
      </c>
      <c r="R117" s="4" t="s">
        <v>6</v>
      </c>
      <c r="S117" s="4" t="s">
        <v>420</v>
      </c>
      <c r="T117" s="4" t="s">
        <v>141</v>
      </c>
      <c r="U117" s="4" t="s">
        <v>409</v>
      </c>
      <c r="V117" s="4"/>
      <c r="W117" s="4"/>
      <c r="X117" s="4"/>
      <c r="Y117" s="24"/>
    </row>
    <row r="118" spans="1:25">
      <c r="A118" s="29" t="s">
        <v>409</v>
      </c>
      <c r="B118" s="4" t="s">
        <v>141</v>
      </c>
      <c r="C118" s="4" t="s">
        <v>27</v>
      </c>
      <c r="D118" s="4" t="s">
        <v>148</v>
      </c>
      <c r="E118" s="198" t="s">
        <v>425</v>
      </c>
      <c r="F118" s="198" t="s">
        <v>426</v>
      </c>
      <c r="G118" s="4" t="s">
        <v>33</v>
      </c>
      <c r="H118" s="4" t="s">
        <v>178</v>
      </c>
      <c r="I118" s="92" t="s">
        <v>478</v>
      </c>
      <c r="J118" s="92" t="s">
        <v>479</v>
      </c>
      <c r="K118" s="4" t="s">
        <v>1</v>
      </c>
      <c r="L118" s="4" t="s">
        <v>1077</v>
      </c>
      <c r="M118" s="7">
        <v>288</v>
      </c>
      <c r="N118" s="7">
        <v>1438</v>
      </c>
      <c r="O118" s="4" t="s">
        <v>1099</v>
      </c>
      <c r="P118" s="4"/>
      <c r="Q118" s="4" t="s">
        <v>1068</v>
      </c>
      <c r="R118" s="4" t="s">
        <v>6</v>
      </c>
      <c r="S118" s="4" t="s">
        <v>420</v>
      </c>
      <c r="T118" s="4" t="s">
        <v>141</v>
      </c>
      <c r="U118" s="4" t="s">
        <v>409</v>
      </c>
      <c r="V118" s="4" t="s">
        <v>148</v>
      </c>
      <c r="W118" s="4" t="s">
        <v>27</v>
      </c>
      <c r="X118" s="4"/>
      <c r="Y118" s="24"/>
    </row>
    <row r="119" spans="1:25">
      <c r="A119" s="29" t="s">
        <v>409</v>
      </c>
      <c r="B119" s="4" t="s">
        <v>141</v>
      </c>
      <c r="C119" s="4" t="s">
        <v>27</v>
      </c>
      <c r="D119" s="4" t="s">
        <v>148</v>
      </c>
      <c r="E119" s="198" t="s">
        <v>425</v>
      </c>
      <c r="F119" s="198" t="s">
        <v>426</v>
      </c>
      <c r="G119" s="4" t="s">
        <v>33</v>
      </c>
      <c r="H119" s="4" t="s">
        <v>178</v>
      </c>
      <c r="I119" s="92" t="s">
        <v>478</v>
      </c>
      <c r="J119" s="92" t="s">
        <v>479</v>
      </c>
      <c r="K119" s="4" t="s">
        <v>1</v>
      </c>
      <c r="L119" s="4" t="s">
        <v>1075</v>
      </c>
      <c r="M119" s="7">
        <v>160</v>
      </c>
      <c r="N119" s="7">
        <v>800</v>
      </c>
      <c r="O119" s="4" t="s">
        <v>1099</v>
      </c>
      <c r="P119" s="4"/>
      <c r="Q119" s="4" t="s">
        <v>1068</v>
      </c>
      <c r="R119" s="4" t="s">
        <v>6</v>
      </c>
      <c r="S119" s="4" t="s">
        <v>420</v>
      </c>
      <c r="T119" s="4" t="s">
        <v>141</v>
      </c>
      <c r="U119" s="4" t="s">
        <v>409</v>
      </c>
      <c r="V119" s="4" t="s">
        <v>148</v>
      </c>
      <c r="W119" s="4" t="s">
        <v>27</v>
      </c>
      <c r="X119" s="4"/>
      <c r="Y119" s="24"/>
    </row>
    <row r="120" spans="1:25">
      <c r="A120" s="29" t="s">
        <v>409</v>
      </c>
      <c r="B120" s="4" t="s">
        <v>141</v>
      </c>
      <c r="C120" s="4" t="s">
        <v>27</v>
      </c>
      <c r="D120" s="4" t="s">
        <v>148</v>
      </c>
      <c r="E120" s="198" t="s">
        <v>425</v>
      </c>
      <c r="F120" s="198" t="s">
        <v>426</v>
      </c>
      <c r="G120" s="4" t="s">
        <v>33</v>
      </c>
      <c r="H120" s="4" t="s">
        <v>178</v>
      </c>
      <c r="I120" s="92" t="s">
        <v>478</v>
      </c>
      <c r="J120" s="92" t="s">
        <v>479</v>
      </c>
      <c r="K120" s="4" t="s">
        <v>1</v>
      </c>
      <c r="L120" s="4" t="s">
        <v>1076</v>
      </c>
      <c r="M120" s="7">
        <v>249</v>
      </c>
      <c r="N120" s="7">
        <v>1712</v>
      </c>
      <c r="O120" s="4" t="s">
        <v>1099</v>
      </c>
      <c r="P120" s="4"/>
      <c r="Q120" s="4" t="s">
        <v>1068</v>
      </c>
      <c r="R120" s="4" t="s">
        <v>6</v>
      </c>
      <c r="S120" s="4" t="s">
        <v>420</v>
      </c>
      <c r="T120" s="4" t="s">
        <v>141</v>
      </c>
      <c r="U120" s="4" t="s">
        <v>409</v>
      </c>
      <c r="V120" s="4" t="s">
        <v>148</v>
      </c>
      <c r="W120" s="4" t="s">
        <v>27</v>
      </c>
      <c r="X120" s="4"/>
      <c r="Y120" s="24"/>
    </row>
    <row r="121" spans="1:25">
      <c r="A121" s="29" t="s">
        <v>409</v>
      </c>
      <c r="B121" s="4" t="s">
        <v>141</v>
      </c>
      <c r="C121" s="4" t="s">
        <v>27</v>
      </c>
      <c r="D121" s="4" t="s">
        <v>148</v>
      </c>
      <c r="E121" s="198" t="s">
        <v>425</v>
      </c>
      <c r="F121" s="198" t="s">
        <v>426</v>
      </c>
      <c r="G121" s="4" t="s">
        <v>33</v>
      </c>
      <c r="H121" s="4" t="s">
        <v>178</v>
      </c>
      <c r="I121" s="92" t="s">
        <v>478</v>
      </c>
      <c r="J121" s="92" t="s">
        <v>479</v>
      </c>
      <c r="K121" s="4" t="s">
        <v>1</v>
      </c>
      <c r="L121" s="4" t="s">
        <v>1072</v>
      </c>
      <c r="M121" s="7">
        <v>200</v>
      </c>
      <c r="N121" s="7">
        <v>750</v>
      </c>
      <c r="O121" s="4" t="s">
        <v>1099</v>
      </c>
      <c r="P121" s="4"/>
      <c r="Q121" s="4" t="s">
        <v>1068</v>
      </c>
      <c r="R121" s="4" t="s">
        <v>6</v>
      </c>
      <c r="S121" s="4" t="s">
        <v>420</v>
      </c>
      <c r="T121" s="4" t="s">
        <v>141</v>
      </c>
      <c r="U121" s="4" t="s">
        <v>409</v>
      </c>
      <c r="V121" s="4" t="s">
        <v>148</v>
      </c>
      <c r="W121" s="4" t="s">
        <v>27</v>
      </c>
      <c r="X121" s="4"/>
      <c r="Y121" s="24"/>
    </row>
    <row r="122" spans="1:25">
      <c r="A122" s="29" t="s">
        <v>409</v>
      </c>
      <c r="B122" s="4" t="s">
        <v>141</v>
      </c>
      <c r="C122" s="4" t="s">
        <v>27</v>
      </c>
      <c r="D122" s="4" t="s">
        <v>148</v>
      </c>
      <c r="E122" s="198" t="s">
        <v>425</v>
      </c>
      <c r="F122" s="198" t="s">
        <v>426</v>
      </c>
      <c r="G122" s="4" t="s">
        <v>33</v>
      </c>
      <c r="H122" s="4" t="s">
        <v>178</v>
      </c>
      <c r="I122" s="92" t="s">
        <v>478</v>
      </c>
      <c r="J122" s="92" t="s">
        <v>479</v>
      </c>
      <c r="K122" s="4" t="s">
        <v>1</v>
      </c>
      <c r="L122" s="4" t="s">
        <v>1073</v>
      </c>
      <c r="M122" s="7">
        <v>360</v>
      </c>
      <c r="N122" s="7">
        <v>1700</v>
      </c>
      <c r="O122" s="4" t="s">
        <v>1099</v>
      </c>
      <c r="P122" s="4"/>
      <c r="Q122" s="4" t="s">
        <v>1068</v>
      </c>
      <c r="R122" s="4" t="s">
        <v>6</v>
      </c>
      <c r="S122" s="4" t="s">
        <v>420</v>
      </c>
      <c r="T122" s="4" t="s">
        <v>141</v>
      </c>
      <c r="U122" s="4" t="s">
        <v>409</v>
      </c>
      <c r="V122" s="4" t="s">
        <v>148</v>
      </c>
      <c r="W122" s="4" t="s">
        <v>27</v>
      </c>
      <c r="X122" s="4"/>
      <c r="Y122" s="24"/>
    </row>
    <row r="123" spans="1:25">
      <c r="A123" s="4" t="s">
        <v>409</v>
      </c>
      <c r="B123" s="4" t="s">
        <v>141</v>
      </c>
      <c r="C123" s="4" t="s">
        <v>27</v>
      </c>
      <c r="D123" s="4" t="s">
        <v>148</v>
      </c>
      <c r="E123" s="198" t="s">
        <v>425</v>
      </c>
      <c r="F123" s="198" t="s">
        <v>426</v>
      </c>
      <c r="G123" s="4" t="s">
        <v>28</v>
      </c>
      <c r="H123" s="4" t="s">
        <v>179</v>
      </c>
      <c r="I123" s="92" t="s">
        <v>427</v>
      </c>
      <c r="J123" s="92" t="s">
        <v>428</v>
      </c>
      <c r="K123" s="4" t="s">
        <v>1</v>
      </c>
      <c r="L123" s="4" t="s">
        <v>1074</v>
      </c>
      <c r="M123" s="7">
        <v>164</v>
      </c>
      <c r="N123" s="7">
        <v>432</v>
      </c>
      <c r="O123" s="4" t="s">
        <v>1099</v>
      </c>
      <c r="P123" s="4"/>
      <c r="Q123" s="4" t="s">
        <v>1068</v>
      </c>
      <c r="R123" s="4" t="s">
        <v>6</v>
      </c>
      <c r="S123" s="4" t="s">
        <v>420</v>
      </c>
      <c r="T123" s="4" t="s">
        <v>141</v>
      </c>
      <c r="U123" s="4" t="s">
        <v>409</v>
      </c>
      <c r="V123" s="4" t="s">
        <v>148</v>
      </c>
      <c r="W123" s="4" t="s">
        <v>27</v>
      </c>
      <c r="X123" s="4"/>
      <c r="Y123" s="4"/>
    </row>
    <row r="124" spans="1:25">
      <c r="A124" s="4" t="s">
        <v>409</v>
      </c>
      <c r="B124" s="4" t="s">
        <v>141</v>
      </c>
      <c r="C124" s="4" t="s">
        <v>27</v>
      </c>
      <c r="D124" s="4" t="s">
        <v>148</v>
      </c>
      <c r="E124" s="198" t="s">
        <v>425</v>
      </c>
      <c r="F124" s="198" t="s">
        <v>426</v>
      </c>
      <c r="G124" s="4" t="s">
        <v>28</v>
      </c>
      <c r="H124" s="4" t="s">
        <v>179</v>
      </c>
      <c r="I124" s="92" t="s">
        <v>427</v>
      </c>
      <c r="J124" s="92" t="s">
        <v>428</v>
      </c>
      <c r="K124" s="4" t="s">
        <v>1</v>
      </c>
      <c r="L124" s="4" t="s">
        <v>1077</v>
      </c>
      <c r="M124" s="7">
        <v>34</v>
      </c>
      <c r="N124" s="7">
        <v>173</v>
      </c>
      <c r="O124" s="4" t="s">
        <v>1099</v>
      </c>
      <c r="P124" s="4"/>
      <c r="Q124" s="4" t="s">
        <v>1069</v>
      </c>
      <c r="R124" s="4" t="s">
        <v>6</v>
      </c>
      <c r="S124" s="4" t="s">
        <v>420</v>
      </c>
      <c r="T124" s="4" t="s">
        <v>141</v>
      </c>
      <c r="U124" s="4" t="s">
        <v>409</v>
      </c>
      <c r="V124" s="4" t="s">
        <v>148</v>
      </c>
      <c r="W124" s="4" t="s">
        <v>27</v>
      </c>
      <c r="X124" s="4" t="s">
        <v>178</v>
      </c>
      <c r="Y124" s="4" t="s">
        <v>33</v>
      </c>
    </row>
    <row r="125" spans="1:25">
      <c r="A125" s="4" t="s">
        <v>409</v>
      </c>
      <c r="B125" s="4" t="s">
        <v>141</v>
      </c>
      <c r="C125" s="4" t="s">
        <v>27</v>
      </c>
      <c r="D125" s="4" t="s">
        <v>148</v>
      </c>
      <c r="E125" s="198" t="s">
        <v>425</v>
      </c>
      <c r="F125" s="198" t="s">
        <v>426</v>
      </c>
      <c r="G125" s="4" t="s">
        <v>28</v>
      </c>
      <c r="H125" s="4" t="s">
        <v>179</v>
      </c>
      <c r="I125" s="92" t="s">
        <v>427</v>
      </c>
      <c r="J125" s="92" t="s">
        <v>428</v>
      </c>
      <c r="K125" s="4" t="s">
        <v>1</v>
      </c>
      <c r="L125" s="4" t="s">
        <v>1076</v>
      </c>
      <c r="M125" s="7">
        <v>280</v>
      </c>
      <c r="N125" s="7">
        <v>1680</v>
      </c>
      <c r="O125" s="4" t="s">
        <v>1099</v>
      </c>
      <c r="P125" s="4"/>
      <c r="Q125" s="4" t="s">
        <v>1068</v>
      </c>
      <c r="R125" s="4" t="s">
        <v>6</v>
      </c>
      <c r="S125" s="4" t="s">
        <v>420</v>
      </c>
      <c r="T125" s="4" t="s">
        <v>141</v>
      </c>
      <c r="U125" s="4" t="s">
        <v>409</v>
      </c>
      <c r="V125" s="4" t="s">
        <v>148</v>
      </c>
      <c r="W125" s="4" t="s">
        <v>27</v>
      </c>
      <c r="X125" s="4"/>
      <c r="Y125" s="4"/>
    </row>
    <row r="126" spans="1:25">
      <c r="A126" s="4" t="s">
        <v>409</v>
      </c>
      <c r="B126" s="4" t="s">
        <v>141</v>
      </c>
      <c r="C126" s="4" t="s">
        <v>27</v>
      </c>
      <c r="D126" s="4" t="s">
        <v>148</v>
      </c>
      <c r="E126" s="198" t="s">
        <v>425</v>
      </c>
      <c r="F126" s="198" t="s">
        <v>426</v>
      </c>
      <c r="G126" s="4" t="s">
        <v>28</v>
      </c>
      <c r="H126" s="4" t="s">
        <v>179</v>
      </c>
      <c r="I126" s="92" t="s">
        <v>427</v>
      </c>
      <c r="J126" s="92" t="s">
        <v>428</v>
      </c>
      <c r="K126" s="4" t="s">
        <v>1</v>
      </c>
      <c r="L126" s="4" t="s">
        <v>1075</v>
      </c>
      <c r="M126" s="7">
        <v>123</v>
      </c>
      <c r="N126" s="7">
        <v>738</v>
      </c>
      <c r="O126" s="4" t="s">
        <v>1099</v>
      </c>
      <c r="P126" s="4"/>
      <c r="Q126" s="4" t="s">
        <v>1069</v>
      </c>
      <c r="R126" s="4" t="s">
        <v>6</v>
      </c>
      <c r="S126" s="4" t="s">
        <v>420</v>
      </c>
      <c r="T126" s="4" t="s">
        <v>141</v>
      </c>
      <c r="U126" s="4" t="s">
        <v>409</v>
      </c>
      <c r="V126" s="4" t="s">
        <v>148</v>
      </c>
      <c r="W126" s="4" t="s">
        <v>27</v>
      </c>
      <c r="X126" s="4" t="s">
        <v>178</v>
      </c>
      <c r="Y126" s="4" t="s">
        <v>33</v>
      </c>
    </row>
    <row r="127" spans="1:25">
      <c r="A127" s="4" t="s">
        <v>409</v>
      </c>
      <c r="B127" s="4" t="s">
        <v>141</v>
      </c>
      <c r="C127" s="4" t="s">
        <v>27</v>
      </c>
      <c r="D127" s="4" t="s">
        <v>148</v>
      </c>
      <c r="E127" s="198" t="s">
        <v>425</v>
      </c>
      <c r="F127" s="198" t="s">
        <v>426</v>
      </c>
      <c r="G127" s="4" t="s">
        <v>28</v>
      </c>
      <c r="H127" s="4" t="s">
        <v>179</v>
      </c>
      <c r="I127" s="92" t="s">
        <v>427</v>
      </c>
      <c r="J127" s="92" t="s">
        <v>428</v>
      </c>
      <c r="K127" s="4" t="s">
        <v>1</v>
      </c>
      <c r="L127" s="4" t="s">
        <v>1072</v>
      </c>
      <c r="M127" s="7">
        <v>1851</v>
      </c>
      <c r="N127" s="7">
        <v>11106</v>
      </c>
      <c r="O127" s="4" t="s">
        <v>1099</v>
      </c>
      <c r="P127" s="4"/>
      <c r="Q127" s="4" t="s">
        <v>1068</v>
      </c>
      <c r="R127" s="4" t="s">
        <v>6</v>
      </c>
      <c r="S127" s="4" t="s">
        <v>420</v>
      </c>
      <c r="T127" s="4" t="s">
        <v>141</v>
      </c>
      <c r="U127" s="4" t="s">
        <v>409</v>
      </c>
      <c r="V127" s="4" t="s">
        <v>148</v>
      </c>
      <c r="W127" s="4" t="s">
        <v>27</v>
      </c>
      <c r="X127" s="4"/>
      <c r="Y127" s="4"/>
    </row>
    <row r="128" spans="1:25">
      <c r="A128" s="4" t="s">
        <v>409</v>
      </c>
      <c r="B128" s="4" t="s">
        <v>141</v>
      </c>
      <c r="C128" s="4" t="s">
        <v>27</v>
      </c>
      <c r="D128" s="4" t="s">
        <v>148</v>
      </c>
      <c r="E128" s="198" t="s">
        <v>425</v>
      </c>
      <c r="F128" s="198" t="s">
        <v>426</v>
      </c>
      <c r="G128" s="4" t="s">
        <v>28</v>
      </c>
      <c r="H128" s="4" t="s">
        <v>179</v>
      </c>
      <c r="I128" s="92" t="s">
        <v>427</v>
      </c>
      <c r="J128" s="92" t="s">
        <v>428</v>
      </c>
      <c r="K128" s="4" t="s">
        <v>1</v>
      </c>
      <c r="L128" s="4" t="s">
        <v>1073</v>
      </c>
      <c r="M128" s="7">
        <v>1412</v>
      </c>
      <c r="N128" s="7">
        <v>9427</v>
      </c>
      <c r="O128" s="4" t="s">
        <v>1099</v>
      </c>
      <c r="P128" s="4"/>
      <c r="Q128" s="4" t="s">
        <v>1068</v>
      </c>
      <c r="R128" s="4" t="s">
        <v>6</v>
      </c>
      <c r="S128" s="4" t="s">
        <v>420</v>
      </c>
      <c r="T128" s="4" t="s">
        <v>141</v>
      </c>
      <c r="U128" s="4" t="s">
        <v>409</v>
      </c>
      <c r="V128" s="4" t="s">
        <v>148</v>
      </c>
      <c r="W128" s="4" t="s">
        <v>27</v>
      </c>
      <c r="X128" s="4"/>
      <c r="Y128" s="4"/>
    </row>
    <row r="129" spans="1:25">
      <c r="A129" s="4" t="s">
        <v>409</v>
      </c>
      <c r="B129" s="4" t="s">
        <v>141</v>
      </c>
      <c r="C129" s="4" t="s">
        <v>27</v>
      </c>
      <c r="D129" s="4" t="s">
        <v>148</v>
      </c>
      <c r="E129" s="198" t="s">
        <v>425</v>
      </c>
      <c r="F129" s="198" t="s">
        <v>426</v>
      </c>
      <c r="G129" s="4" t="s">
        <v>139</v>
      </c>
      <c r="H129" s="4" t="s">
        <v>180</v>
      </c>
      <c r="I129" s="92" t="s">
        <v>429</v>
      </c>
      <c r="J129" s="92" t="s">
        <v>430</v>
      </c>
      <c r="K129" s="4" t="s">
        <v>1</v>
      </c>
      <c r="L129" s="4" t="s">
        <v>1076</v>
      </c>
      <c r="M129" s="7">
        <v>17</v>
      </c>
      <c r="N129" s="7">
        <v>78</v>
      </c>
      <c r="O129" s="4" t="s">
        <v>1099</v>
      </c>
      <c r="P129" s="4"/>
      <c r="Q129" s="4" t="s">
        <v>1069</v>
      </c>
      <c r="R129" s="4" t="s">
        <v>6</v>
      </c>
      <c r="S129" s="4" t="s">
        <v>420</v>
      </c>
      <c r="T129" s="4" t="s">
        <v>141</v>
      </c>
      <c r="U129" s="4" t="s">
        <v>409</v>
      </c>
      <c r="V129" s="4" t="s">
        <v>148</v>
      </c>
      <c r="W129" s="4" t="s">
        <v>27</v>
      </c>
      <c r="X129" s="4" t="s">
        <v>178</v>
      </c>
      <c r="Y129" s="4" t="s">
        <v>33</v>
      </c>
    </row>
    <row r="130" spans="1:25">
      <c r="A130" s="4" t="s">
        <v>409</v>
      </c>
      <c r="B130" s="4" t="s">
        <v>141</v>
      </c>
      <c r="C130" s="4" t="s">
        <v>27</v>
      </c>
      <c r="D130" s="4" t="s">
        <v>148</v>
      </c>
      <c r="E130" s="198" t="s">
        <v>425</v>
      </c>
      <c r="F130" s="198" t="s">
        <v>426</v>
      </c>
      <c r="G130" s="4" t="s">
        <v>139</v>
      </c>
      <c r="H130" s="4" t="s">
        <v>180</v>
      </c>
      <c r="I130" s="92" t="s">
        <v>429</v>
      </c>
      <c r="J130" s="92" t="s">
        <v>430</v>
      </c>
      <c r="K130" s="4" t="s">
        <v>1</v>
      </c>
      <c r="L130" s="4" t="s">
        <v>1072</v>
      </c>
      <c r="M130" s="7">
        <v>34</v>
      </c>
      <c r="N130" s="7">
        <v>168</v>
      </c>
      <c r="O130" s="4" t="s">
        <v>1099</v>
      </c>
      <c r="P130" s="4"/>
      <c r="Q130" s="4" t="s">
        <v>1069</v>
      </c>
      <c r="R130" s="4" t="s">
        <v>6</v>
      </c>
      <c r="S130" s="4" t="s">
        <v>420</v>
      </c>
      <c r="T130" s="4" t="s">
        <v>141</v>
      </c>
      <c r="U130" s="4" t="s">
        <v>409</v>
      </c>
      <c r="V130" s="4" t="s">
        <v>148</v>
      </c>
      <c r="W130" s="4" t="s">
        <v>27</v>
      </c>
      <c r="X130" s="4" t="s">
        <v>178</v>
      </c>
      <c r="Y130" s="4" t="s">
        <v>33</v>
      </c>
    </row>
    <row r="131" spans="1:25">
      <c r="A131" s="4" t="s">
        <v>409</v>
      </c>
      <c r="B131" s="4" t="s">
        <v>141</v>
      </c>
      <c r="C131" s="4" t="s">
        <v>27</v>
      </c>
      <c r="D131" s="4" t="s">
        <v>148</v>
      </c>
      <c r="E131" s="198" t="s">
        <v>425</v>
      </c>
      <c r="F131" s="198" t="s">
        <v>426</v>
      </c>
      <c r="G131" s="4" t="s">
        <v>139</v>
      </c>
      <c r="H131" s="4" t="s">
        <v>180</v>
      </c>
      <c r="I131" s="92" t="s">
        <v>429</v>
      </c>
      <c r="J131" s="92" t="s">
        <v>430</v>
      </c>
      <c r="K131" s="4" t="s">
        <v>1</v>
      </c>
      <c r="L131" s="4" t="s">
        <v>1077</v>
      </c>
      <c r="M131" s="7">
        <v>99</v>
      </c>
      <c r="N131" s="7">
        <v>496</v>
      </c>
      <c r="O131" s="4" t="s">
        <v>1099</v>
      </c>
      <c r="P131" s="4"/>
      <c r="Q131" s="4" t="s">
        <v>1069</v>
      </c>
      <c r="R131" s="4" t="s">
        <v>6</v>
      </c>
      <c r="S131" s="4" t="s">
        <v>420</v>
      </c>
      <c r="T131" s="4" t="s">
        <v>141</v>
      </c>
      <c r="U131" s="4" t="s">
        <v>409</v>
      </c>
      <c r="V131" s="4" t="s">
        <v>148</v>
      </c>
      <c r="W131" s="4" t="s">
        <v>27</v>
      </c>
      <c r="X131" s="4"/>
      <c r="Y131" s="4"/>
    </row>
    <row r="132" spans="1:25">
      <c r="A132" s="4" t="s">
        <v>409</v>
      </c>
      <c r="B132" s="4" t="s">
        <v>141</v>
      </c>
      <c r="C132" s="4" t="s">
        <v>27</v>
      </c>
      <c r="D132" s="4" t="s">
        <v>148</v>
      </c>
      <c r="E132" s="198" t="s">
        <v>425</v>
      </c>
      <c r="F132" s="198" t="s">
        <v>426</v>
      </c>
      <c r="G132" s="4" t="s">
        <v>139</v>
      </c>
      <c r="H132" s="4" t="s">
        <v>180</v>
      </c>
      <c r="I132" s="92" t="s">
        <v>429</v>
      </c>
      <c r="J132" s="92" t="s">
        <v>430</v>
      </c>
      <c r="K132" s="4" t="s">
        <v>1</v>
      </c>
      <c r="L132" s="4" t="s">
        <v>1073</v>
      </c>
      <c r="M132" s="7">
        <v>603</v>
      </c>
      <c r="N132" s="7">
        <v>3016</v>
      </c>
      <c r="O132" s="4" t="s">
        <v>1099</v>
      </c>
      <c r="P132" s="4"/>
      <c r="Q132" s="4" t="s">
        <v>1069</v>
      </c>
      <c r="R132" s="4" t="s">
        <v>6</v>
      </c>
      <c r="S132" s="4" t="s">
        <v>420</v>
      </c>
      <c r="T132" s="4" t="s">
        <v>141</v>
      </c>
      <c r="U132" s="4" t="s">
        <v>409</v>
      </c>
      <c r="V132" s="4" t="s">
        <v>148</v>
      </c>
      <c r="W132" s="4" t="s">
        <v>27</v>
      </c>
      <c r="X132" s="4" t="s">
        <v>178</v>
      </c>
      <c r="Y132" s="4" t="s">
        <v>33</v>
      </c>
    </row>
    <row r="133" spans="1:25">
      <c r="A133" s="4" t="s">
        <v>409</v>
      </c>
      <c r="B133" s="4" t="s">
        <v>141</v>
      </c>
      <c r="C133" s="4" t="s">
        <v>27</v>
      </c>
      <c r="D133" s="4" t="s">
        <v>148</v>
      </c>
      <c r="E133" s="198" t="s">
        <v>425</v>
      </c>
      <c r="F133" s="198" t="s">
        <v>426</v>
      </c>
      <c r="G133" s="4" t="s">
        <v>139</v>
      </c>
      <c r="H133" s="4" t="s">
        <v>180</v>
      </c>
      <c r="I133" s="92" t="s">
        <v>429</v>
      </c>
      <c r="J133" s="92" t="s">
        <v>430</v>
      </c>
      <c r="K133" s="4" t="s">
        <v>1</v>
      </c>
      <c r="L133" s="4" t="s">
        <v>1075</v>
      </c>
      <c r="M133" s="7">
        <v>19</v>
      </c>
      <c r="N133" s="7">
        <v>99</v>
      </c>
      <c r="O133" s="4" t="s">
        <v>1099</v>
      </c>
      <c r="P133" s="4"/>
      <c r="Q133" s="4" t="s">
        <v>1069</v>
      </c>
      <c r="R133" s="4" t="s">
        <v>6</v>
      </c>
      <c r="S133" s="4" t="s">
        <v>420</v>
      </c>
      <c r="T133" s="4" t="s">
        <v>141</v>
      </c>
      <c r="U133" s="4" t="s">
        <v>409</v>
      </c>
      <c r="V133" s="4" t="s">
        <v>148</v>
      </c>
      <c r="W133" s="4" t="s">
        <v>27</v>
      </c>
      <c r="X133" s="4"/>
      <c r="Y133" s="4"/>
    </row>
    <row r="134" spans="1:25">
      <c r="A134" s="4" t="s">
        <v>409</v>
      </c>
      <c r="B134" s="4" t="s">
        <v>141</v>
      </c>
      <c r="C134" s="4" t="s">
        <v>27</v>
      </c>
      <c r="D134" s="4" t="s">
        <v>148</v>
      </c>
      <c r="E134" s="198" t="s">
        <v>425</v>
      </c>
      <c r="F134" s="198" t="s">
        <v>426</v>
      </c>
      <c r="G134" s="4" t="s">
        <v>33</v>
      </c>
      <c r="H134" s="4" t="s">
        <v>178</v>
      </c>
      <c r="I134" s="92" t="s">
        <v>478</v>
      </c>
      <c r="J134" s="92" t="s">
        <v>479</v>
      </c>
      <c r="K134" s="4" t="s">
        <v>1065</v>
      </c>
      <c r="L134" s="4" t="s">
        <v>1075</v>
      </c>
      <c r="M134" s="7">
        <v>25</v>
      </c>
      <c r="N134" s="7">
        <v>122</v>
      </c>
      <c r="O134" s="4" t="s">
        <v>1099</v>
      </c>
      <c r="P134" s="4"/>
      <c r="Q134" s="4" t="s">
        <v>1070</v>
      </c>
      <c r="R134" s="4" t="s">
        <v>402</v>
      </c>
      <c r="S134" s="4" t="s">
        <v>500</v>
      </c>
      <c r="T134" s="4" t="s">
        <v>42</v>
      </c>
      <c r="U134" s="4" t="s">
        <v>501</v>
      </c>
      <c r="V134" s="4"/>
      <c r="W134" s="4"/>
      <c r="X134" s="4"/>
      <c r="Y134" s="4"/>
    </row>
    <row r="135" spans="1:25">
      <c r="A135" s="4" t="s">
        <v>409</v>
      </c>
      <c r="B135" s="4" t="s">
        <v>141</v>
      </c>
      <c r="C135" s="4" t="s">
        <v>27</v>
      </c>
      <c r="D135" s="4" t="s">
        <v>148</v>
      </c>
      <c r="E135" s="198" t="s">
        <v>425</v>
      </c>
      <c r="F135" s="198" t="s">
        <v>426</v>
      </c>
      <c r="G135" s="4" t="s">
        <v>33</v>
      </c>
      <c r="H135" s="4" t="s">
        <v>178</v>
      </c>
      <c r="I135" s="92" t="s">
        <v>478</v>
      </c>
      <c r="J135" s="92" t="s">
        <v>479</v>
      </c>
      <c r="K135" s="4" t="s">
        <v>1065</v>
      </c>
      <c r="L135" s="4" t="s">
        <v>1076</v>
      </c>
      <c r="M135" s="7">
        <v>39</v>
      </c>
      <c r="N135" s="7">
        <v>193</v>
      </c>
      <c r="O135" s="4" t="s">
        <v>1099</v>
      </c>
      <c r="P135" s="4"/>
      <c r="Q135" s="4" t="s">
        <v>1070</v>
      </c>
      <c r="R135" s="4" t="s">
        <v>402</v>
      </c>
      <c r="S135" s="4" t="s">
        <v>500</v>
      </c>
      <c r="T135" s="4" t="s">
        <v>42</v>
      </c>
      <c r="U135" s="4" t="s">
        <v>501</v>
      </c>
      <c r="V135" s="4"/>
      <c r="W135" s="4"/>
      <c r="X135" s="4"/>
      <c r="Y135" s="4"/>
    </row>
    <row r="136" spans="1:25">
      <c r="A136" s="4" t="s">
        <v>409</v>
      </c>
      <c r="B136" s="4" t="s">
        <v>141</v>
      </c>
      <c r="C136" s="4" t="s">
        <v>27</v>
      </c>
      <c r="D136" s="4" t="s">
        <v>148</v>
      </c>
      <c r="E136" s="198" t="s">
        <v>425</v>
      </c>
      <c r="F136" s="198" t="s">
        <v>426</v>
      </c>
      <c r="G136" s="4" t="s">
        <v>33</v>
      </c>
      <c r="H136" s="4" t="s">
        <v>178</v>
      </c>
      <c r="I136" s="92" t="s">
        <v>478</v>
      </c>
      <c r="J136" s="92" t="s">
        <v>479</v>
      </c>
      <c r="K136" s="4" t="s">
        <v>1065</v>
      </c>
      <c r="L136" s="4" t="s">
        <v>1072</v>
      </c>
      <c r="M136" s="7">
        <v>40</v>
      </c>
      <c r="N136" s="7">
        <v>200</v>
      </c>
      <c r="O136" s="4" t="s">
        <v>1099</v>
      </c>
      <c r="P136" s="4"/>
      <c r="Q136" s="4" t="s">
        <v>1070</v>
      </c>
      <c r="R136" s="4" t="s">
        <v>402</v>
      </c>
      <c r="S136" s="4" t="s">
        <v>500</v>
      </c>
      <c r="T136" s="4" t="s">
        <v>42</v>
      </c>
      <c r="U136" s="4" t="s">
        <v>501</v>
      </c>
      <c r="V136" s="4"/>
      <c r="W136" s="4"/>
      <c r="X136" s="4"/>
      <c r="Y136" s="4"/>
    </row>
    <row r="137" spans="1:25">
      <c r="A137" s="4" t="s">
        <v>409</v>
      </c>
      <c r="B137" s="4" t="s">
        <v>141</v>
      </c>
      <c r="C137" s="4" t="s">
        <v>27</v>
      </c>
      <c r="D137" s="4" t="s">
        <v>148</v>
      </c>
      <c r="E137" s="198" t="s">
        <v>425</v>
      </c>
      <c r="F137" s="198" t="s">
        <v>426</v>
      </c>
      <c r="G137" s="4" t="s">
        <v>28</v>
      </c>
      <c r="H137" s="4" t="s">
        <v>179</v>
      </c>
      <c r="I137" s="198" t="s">
        <v>427</v>
      </c>
      <c r="J137" s="198" t="s">
        <v>428</v>
      </c>
      <c r="K137" s="4" t="s">
        <v>1066</v>
      </c>
      <c r="L137" s="4" t="s">
        <v>1077</v>
      </c>
      <c r="M137" s="7">
        <v>29</v>
      </c>
      <c r="N137" s="7">
        <v>179</v>
      </c>
      <c r="O137" s="4"/>
      <c r="P137" s="4"/>
      <c r="Q137" s="4" t="s">
        <v>1071</v>
      </c>
      <c r="R137" s="4" t="s">
        <v>6</v>
      </c>
      <c r="S137" s="4" t="s">
        <v>420</v>
      </c>
      <c r="T137" s="4" t="s">
        <v>141</v>
      </c>
      <c r="U137" s="4" t="s">
        <v>409</v>
      </c>
      <c r="V137" s="4"/>
      <c r="W137" s="4"/>
      <c r="X137" s="4"/>
      <c r="Y137" s="4"/>
    </row>
    <row r="138" spans="1:25">
      <c r="A138" s="4" t="s">
        <v>409</v>
      </c>
      <c r="B138" s="4" t="s">
        <v>141</v>
      </c>
      <c r="C138" s="4" t="s">
        <v>27</v>
      </c>
      <c r="D138" s="4" t="s">
        <v>148</v>
      </c>
      <c r="E138" s="198" t="s">
        <v>425</v>
      </c>
      <c r="F138" s="198" t="s">
        <v>426</v>
      </c>
      <c r="G138" s="4" t="s">
        <v>28</v>
      </c>
      <c r="H138" s="4" t="s">
        <v>179</v>
      </c>
      <c r="I138" s="198" t="s">
        <v>427</v>
      </c>
      <c r="J138" s="198" t="s">
        <v>428</v>
      </c>
      <c r="K138" s="4" t="s">
        <v>1066</v>
      </c>
      <c r="L138" s="4" t="s">
        <v>1075</v>
      </c>
      <c r="M138" s="7">
        <v>45</v>
      </c>
      <c r="N138" s="7">
        <v>270</v>
      </c>
      <c r="O138" s="4"/>
      <c r="P138" s="4"/>
      <c r="Q138" s="4" t="s">
        <v>1071</v>
      </c>
      <c r="R138" s="4" t="s">
        <v>6</v>
      </c>
      <c r="S138" s="4" t="s">
        <v>420</v>
      </c>
      <c r="T138" s="4" t="s">
        <v>141</v>
      </c>
      <c r="U138" s="4" t="s">
        <v>409</v>
      </c>
      <c r="V138" s="4"/>
      <c r="W138" s="4"/>
      <c r="X138" s="4"/>
      <c r="Y138" s="4"/>
    </row>
    <row r="139" spans="1:25">
      <c r="A139" s="4" t="s">
        <v>409</v>
      </c>
      <c r="B139" s="4" t="s">
        <v>141</v>
      </c>
      <c r="C139" s="4" t="s">
        <v>27</v>
      </c>
      <c r="D139" s="4" t="s">
        <v>148</v>
      </c>
      <c r="E139" s="198" t="s">
        <v>425</v>
      </c>
      <c r="F139" s="198" t="s">
        <v>426</v>
      </c>
      <c r="G139" s="4" t="s">
        <v>139</v>
      </c>
      <c r="H139" s="4" t="s">
        <v>180</v>
      </c>
      <c r="I139" s="198" t="s">
        <v>429</v>
      </c>
      <c r="J139" s="198" t="s">
        <v>430</v>
      </c>
      <c r="K139" s="4" t="s">
        <v>1066</v>
      </c>
      <c r="L139" s="4" t="s">
        <v>1077</v>
      </c>
      <c r="M139" s="7">
        <v>25</v>
      </c>
      <c r="N139" s="7">
        <v>137</v>
      </c>
      <c r="O139" s="4"/>
      <c r="P139" s="4"/>
      <c r="Q139" s="4" t="s">
        <v>1071</v>
      </c>
      <c r="R139" s="4" t="s">
        <v>6</v>
      </c>
      <c r="S139" s="4" t="s">
        <v>420</v>
      </c>
      <c r="T139" s="4" t="s">
        <v>141</v>
      </c>
      <c r="U139" s="4" t="s">
        <v>409</v>
      </c>
      <c r="V139" s="4"/>
      <c r="W139" s="4"/>
      <c r="X139" s="4"/>
      <c r="Y139" s="4"/>
    </row>
    <row r="140" spans="1:25">
      <c r="A140" s="4" t="s">
        <v>409</v>
      </c>
      <c r="B140" s="4" t="s">
        <v>141</v>
      </c>
      <c r="C140" s="4" t="s">
        <v>2</v>
      </c>
      <c r="D140" s="4" t="s">
        <v>149</v>
      </c>
      <c r="E140" s="198" t="s">
        <v>431</v>
      </c>
      <c r="F140" s="198" t="s">
        <v>432</v>
      </c>
      <c r="G140" s="4" t="s">
        <v>14</v>
      </c>
      <c r="H140" s="4" t="s">
        <v>187</v>
      </c>
      <c r="I140" s="92" t="s">
        <v>439</v>
      </c>
      <c r="J140" s="92" t="s">
        <v>440</v>
      </c>
      <c r="K140" s="4" t="s">
        <v>1</v>
      </c>
      <c r="L140" s="4" t="s">
        <v>1075</v>
      </c>
      <c r="M140" s="7">
        <v>2</v>
      </c>
      <c r="N140" s="7">
        <v>17</v>
      </c>
      <c r="O140" s="4" t="s">
        <v>1099</v>
      </c>
      <c r="P140" s="4"/>
      <c r="Q140" s="4" t="s">
        <v>1069</v>
      </c>
      <c r="R140" s="4" t="s">
        <v>6</v>
      </c>
      <c r="S140" s="4" t="s">
        <v>420</v>
      </c>
      <c r="T140" s="4" t="s">
        <v>141</v>
      </c>
      <c r="U140" s="4" t="s">
        <v>409</v>
      </c>
      <c r="V140" s="4" t="s">
        <v>149</v>
      </c>
      <c r="W140" s="4" t="s">
        <v>2</v>
      </c>
      <c r="X140" s="4" t="s">
        <v>185</v>
      </c>
      <c r="Y140" s="4" t="s">
        <v>16</v>
      </c>
    </row>
    <row r="141" spans="1:25">
      <c r="A141" s="4" t="s">
        <v>409</v>
      </c>
      <c r="B141" s="4" t="s">
        <v>141</v>
      </c>
      <c r="C141" s="4" t="s">
        <v>2</v>
      </c>
      <c r="D141" s="4" t="s">
        <v>149</v>
      </c>
      <c r="E141" s="198" t="s">
        <v>431</v>
      </c>
      <c r="F141" s="198" t="s">
        <v>432</v>
      </c>
      <c r="G141" s="4" t="s">
        <v>14</v>
      </c>
      <c r="H141" s="4" t="s">
        <v>187</v>
      </c>
      <c r="I141" s="92" t="s">
        <v>439</v>
      </c>
      <c r="J141" s="92" t="s">
        <v>440</v>
      </c>
      <c r="K141" s="4" t="s">
        <v>1</v>
      </c>
      <c r="L141" s="4" t="s">
        <v>1073</v>
      </c>
      <c r="M141" s="7">
        <v>16</v>
      </c>
      <c r="N141" s="7">
        <v>82</v>
      </c>
      <c r="O141" s="4" t="s">
        <v>1099</v>
      </c>
      <c r="P141" s="4"/>
      <c r="Q141" s="4" t="s">
        <v>1069</v>
      </c>
      <c r="R141" s="4" t="s">
        <v>6</v>
      </c>
      <c r="S141" s="4" t="s">
        <v>420</v>
      </c>
      <c r="T141" s="4" t="s">
        <v>141</v>
      </c>
      <c r="U141" s="4" t="s">
        <v>409</v>
      </c>
      <c r="V141" s="4" t="s">
        <v>149</v>
      </c>
      <c r="W141" s="4" t="s">
        <v>2</v>
      </c>
      <c r="X141" s="4" t="s">
        <v>185</v>
      </c>
      <c r="Y141" s="4" t="s">
        <v>16</v>
      </c>
    </row>
    <row r="142" spans="1:25">
      <c r="A142" s="4" t="s">
        <v>409</v>
      </c>
      <c r="B142" s="4" t="s">
        <v>141</v>
      </c>
      <c r="C142" s="4" t="s">
        <v>2</v>
      </c>
      <c r="D142" s="4" t="s">
        <v>149</v>
      </c>
      <c r="E142" s="198" t="s">
        <v>431</v>
      </c>
      <c r="F142" s="198" t="s">
        <v>432</v>
      </c>
      <c r="G142" s="4" t="s">
        <v>36</v>
      </c>
      <c r="H142" s="4" t="s">
        <v>183</v>
      </c>
      <c r="I142" s="92" t="s">
        <v>437</v>
      </c>
      <c r="J142" s="92" t="s">
        <v>438</v>
      </c>
      <c r="K142" s="4" t="s">
        <v>1</v>
      </c>
      <c r="L142" s="4" t="s">
        <v>1077</v>
      </c>
      <c r="M142" s="7">
        <v>6</v>
      </c>
      <c r="N142" s="7">
        <v>19</v>
      </c>
      <c r="O142" s="4" t="s">
        <v>1099</v>
      </c>
      <c r="P142" s="4"/>
      <c r="Q142" s="4" t="s">
        <v>1069</v>
      </c>
      <c r="R142" s="4" t="s">
        <v>6</v>
      </c>
      <c r="S142" s="4" t="s">
        <v>420</v>
      </c>
      <c r="T142" s="4" t="s">
        <v>141</v>
      </c>
      <c r="U142" s="4" t="s">
        <v>409</v>
      </c>
      <c r="V142" s="4" t="s">
        <v>149</v>
      </c>
      <c r="W142" s="4" t="s">
        <v>2</v>
      </c>
      <c r="X142" s="4" t="s">
        <v>185</v>
      </c>
      <c r="Y142" s="4" t="s">
        <v>16</v>
      </c>
    </row>
    <row r="143" spans="1:25">
      <c r="A143" s="4" t="s">
        <v>409</v>
      </c>
      <c r="B143" s="4" t="s">
        <v>141</v>
      </c>
      <c r="C143" s="4" t="s">
        <v>2</v>
      </c>
      <c r="D143" s="4" t="s">
        <v>149</v>
      </c>
      <c r="E143" s="198" t="s">
        <v>431</v>
      </c>
      <c r="F143" s="198" t="s">
        <v>432</v>
      </c>
      <c r="G143" s="4" t="s">
        <v>36</v>
      </c>
      <c r="H143" s="4" t="s">
        <v>183</v>
      </c>
      <c r="I143" s="92" t="s">
        <v>437</v>
      </c>
      <c r="J143" s="92" t="s">
        <v>438</v>
      </c>
      <c r="K143" s="4" t="s">
        <v>1</v>
      </c>
      <c r="L143" s="4" t="s">
        <v>1072</v>
      </c>
      <c r="M143" s="7">
        <v>48</v>
      </c>
      <c r="N143" s="7">
        <v>318</v>
      </c>
      <c r="O143" s="4" t="s">
        <v>1099</v>
      </c>
      <c r="P143" s="4"/>
      <c r="Q143" s="4" t="s">
        <v>1069</v>
      </c>
      <c r="R143" s="4" t="s">
        <v>6</v>
      </c>
      <c r="S143" s="4" t="s">
        <v>420</v>
      </c>
      <c r="T143" s="4" t="s">
        <v>141</v>
      </c>
      <c r="U143" s="4" t="s">
        <v>409</v>
      </c>
      <c r="V143" s="4" t="s">
        <v>149</v>
      </c>
      <c r="W143" s="4" t="s">
        <v>2</v>
      </c>
      <c r="X143" s="4" t="s">
        <v>185</v>
      </c>
      <c r="Y143" s="4" t="s">
        <v>16</v>
      </c>
    </row>
    <row r="144" spans="1:25">
      <c r="A144" s="4" t="s">
        <v>409</v>
      </c>
      <c r="B144" s="4" t="s">
        <v>141</v>
      </c>
      <c r="C144" s="4" t="s">
        <v>2</v>
      </c>
      <c r="D144" s="4" t="s">
        <v>149</v>
      </c>
      <c r="E144" s="198" t="s">
        <v>431</v>
      </c>
      <c r="F144" s="198" t="s">
        <v>432</v>
      </c>
      <c r="G144" s="4" t="s">
        <v>36</v>
      </c>
      <c r="H144" s="4" t="s">
        <v>183</v>
      </c>
      <c r="I144" s="92" t="s">
        <v>437</v>
      </c>
      <c r="J144" s="92" t="s">
        <v>438</v>
      </c>
      <c r="K144" s="4" t="s">
        <v>1</v>
      </c>
      <c r="L144" s="4" t="s">
        <v>1073</v>
      </c>
      <c r="M144" s="7">
        <v>54</v>
      </c>
      <c r="N144" s="7">
        <v>412</v>
      </c>
      <c r="O144" s="4" t="s">
        <v>1099</v>
      </c>
      <c r="P144" s="4"/>
      <c r="Q144" s="4" t="s">
        <v>1069</v>
      </c>
      <c r="R144" s="4" t="s">
        <v>6</v>
      </c>
      <c r="S144" s="4" t="s">
        <v>420</v>
      </c>
      <c r="T144" s="4" t="s">
        <v>141</v>
      </c>
      <c r="U144" s="4" t="s">
        <v>409</v>
      </c>
      <c r="V144" s="4" t="s">
        <v>149</v>
      </c>
      <c r="W144" s="4" t="s">
        <v>2</v>
      </c>
      <c r="X144" s="4" t="s">
        <v>185</v>
      </c>
      <c r="Y144" s="4" t="s">
        <v>16</v>
      </c>
    </row>
    <row r="145" spans="1:25">
      <c r="A145" s="4" t="s">
        <v>409</v>
      </c>
      <c r="B145" s="4" t="s">
        <v>141</v>
      </c>
      <c r="C145" s="4" t="s">
        <v>2</v>
      </c>
      <c r="D145" s="4" t="s">
        <v>149</v>
      </c>
      <c r="E145" s="198" t="s">
        <v>431</v>
      </c>
      <c r="F145" s="198" t="s">
        <v>432</v>
      </c>
      <c r="G145" s="4" t="s">
        <v>3</v>
      </c>
      <c r="H145" s="4" t="s">
        <v>184</v>
      </c>
      <c r="I145" s="92" t="s">
        <v>433</v>
      </c>
      <c r="J145" s="92" t="s">
        <v>434</v>
      </c>
      <c r="K145" s="4" t="s">
        <v>1</v>
      </c>
      <c r="L145" s="4" t="s">
        <v>1073</v>
      </c>
      <c r="M145" s="7">
        <v>686</v>
      </c>
      <c r="N145" s="7">
        <v>5354</v>
      </c>
      <c r="O145" s="4" t="s">
        <v>1099</v>
      </c>
      <c r="P145" s="4"/>
      <c r="Q145" s="4" t="s">
        <v>1067</v>
      </c>
      <c r="R145" s="4" t="s">
        <v>6</v>
      </c>
      <c r="S145" s="4" t="s">
        <v>420</v>
      </c>
      <c r="T145" s="4" t="s">
        <v>141</v>
      </c>
      <c r="U145" s="4" t="s">
        <v>409</v>
      </c>
      <c r="V145" s="4" t="s">
        <v>148</v>
      </c>
      <c r="W145" s="4" t="s">
        <v>27</v>
      </c>
      <c r="X145" s="4"/>
      <c r="Y145" s="4"/>
    </row>
    <row r="146" spans="1:25">
      <c r="A146" s="4" t="s">
        <v>409</v>
      </c>
      <c r="B146" s="4" t="s">
        <v>141</v>
      </c>
      <c r="C146" s="4" t="s">
        <v>2</v>
      </c>
      <c r="D146" s="4" t="s">
        <v>149</v>
      </c>
      <c r="E146" s="198" t="s">
        <v>431</v>
      </c>
      <c r="F146" s="198" t="s">
        <v>432</v>
      </c>
      <c r="G146" s="4" t="s">
        <v>3</v>
      </c>
      <c r="H146" s="4" t="s">
        <v>184</v>
      </c>
      <c r="I146" s="92" t="s">
        <v>433</v>
      </c>
      <c r="J146" s="92" t="s">
        <v>434</v>
      </c>
      <c r="K146" s="4" t="s">
        <v>1</v>
      </c>
      <c r="L146" s="4" t="s">
        <v>1072</v>
      </c>
      <c r="M146" s="7">
        <v>375</v>
      </c>
      <c r="N146" s="7">
        <v>3000</v>
      </c>
      <c r="O146" s="4" t="s">
        <v>1099</v>
      </c>
      <c r="P146" s="4"/>
      <c r="Q146" s="4" t="s">
        <v>1069</v>
      </c>
      <c r="R146" s="4" t="s">
        <v>6</v>
      </c>
      <c r="S146" s="4" t="s">
        <v>420</v>
      </c>
      <c r="T146" s="4" t="s">
        <v>141</v>
      </c>
      <c r="U146" s="4" t="s">
        <v>409</v>
      </c>
      <c r="V146" s="4" t="s">
        <v>149</v>
      </c>
      <c r="W146" s="4" t="s">
        <v>2</v>
      </c>
      <c r="X146" s="4" t="s">
        <v>184</v>
      </c>
      <c r="Y146" s="4" t="s">
        <v>3</v>
      </c>
    </row>
    <row r="147" spans="1:25">
      <c r="A147" s="4" t="s">
        <v>409</v>
      </c>
      <c r="B147" s="4" t="s">
        <v>141</v>
      </c>
      <c r="C147" s="4" t="s">
        <v>2</v>
      </c>
      <c r="D147" s="4" t="s">
        <v>149</v>
      </c>
      <c r="E147" s="198" t="s">
        <v>431</v>
      </c>
      <c r="F147" s="198" t="s">
        <v>432</v>
      </c>
      <c r="G147" s="4" t="s">
        <v>3</v>
      </c>
      <c r="H147" s="4" t="s">
        <v>184</v>
      </c>
      <c r="I147" s="92" t="s">
        <v>433</v>
      </c>
      <c r="J147" s="92" t="s">
        <v>434</v>
      </c>
      <c r="K147" s="4" t="s">
        <v>1</v>
      </c>
      <c r="L147" s="4" t="s">
        <v>1075</v>
      </c>
      <c r="M147" s="7">
        <v>21</v>
      </c>
      <c r="N147" s="7">
        <v>159</v>
      </c>
      <c r="O147" s="4" t="s">
        <v>1099</v>
      </c>
      <c r="P147" s="4"/>
      <c r="Q147" s="4" t="s">
        <v>1067</v>
      </c>
      <c r="R147" s="4" t="s">
        <v>6</v>
      </c>
      <c r="S147" s="4" t="s">
        <v>420</v>
      </c>
      <c r="T147" s="4" t="s">
        <v>141</v>
      </c>
      <c r="U147" s="4" t="s">
        <v>409</v>
      </c>
      <c r="V147" s="4" t="s">
        <v>148</v>
      </c>
      <c r="W147" s="4" t="s">
        <v>27</v>
      </c>
      <c r="X147" s="4"/>
      <c r="Y147" s="4"/>
    </row>
    <row r="148" spans="1:25">
      <c r="A148" s="4" t="s">
        <v>409</v>
      </c>
      <c r="B148" s="4" t="s">
        <v>141</v>
      </c>
      <c r="C148" s="4" t="s">
        <v>2</v>
      </c>
      <c r="D148" s="4" t="s">
        <v>149</v>
      </c>
      <c r="E148" s="198" t="s">
        <v>431</v>
      </c>
      <c r="F148" s="198" t="s">
        <v>432</v>
      </c>
      <c r="G148" s="4" t="s">
        <v>99</v>
      </c>
      <c r="H148" s="4" t="s">
        <v>181</v>
      </c>
      <c r="I148" s="92" t="s">
        <v>498</v>
      </c>
      <c r="J148" s="92" t="s">
        <v>499</v>
      </c>
      <c r="K148" s="4" t="s">
        <v>1</v>
      </c>
      <c r="L148" s="4" t="s">
        <v>1075</v>
      </c>
      <c r="M148" s="7">
        <v>30</v>
      </c>
      <c r="N148" s="7">
        <v>423</v>
      </c>
      <c r="O148" s="4" t="s">
        <v>1099</v>
      </c>
      <c r="P148" s="4"/>
      <c r="Q148" s="4" t="s">
        <v>1068</v>
      </c>
      <c r="R148" s="4" t="s">
        <v>6</v>
      </c>
      <c r="S148" s="4" t="s">
        <v>420</v>
      </c>
      <c r="T148" s="4" t="s">
        <v>141</v>
      </c>
      <c r="U148" s="4" t="s">
        <v>409</v>
      </c>
      <c r="V148" s="4" t="s">
        <v>149</v>
      </c>
      <c r="W148" s="4" t="s">
        <v>2</v>
      </c>
      <c r="X148" s="4"/>
      <c r="Y148" s="4"/>
    </row>
    <row r="149" spans="1:25">
      <c r="A149" s="4" t="s">
        <v>409</v>
      </c>
      <c r="B149" s="4" t="s">
        <v>141</v>
      </c>
      <c r="C149" s="4" t="s">
        <v>2</v>
      </c>
      <c r="D149" s="4" t="s">
        <v>149</v>
      </c>
      <c r="E149" s="198" t="s">
        <v>431</v>
      </c>
      <c r="F149" s="198" t="s">
        <v>432</v>
      </c>
      <c r="G149" s="4" t="s">
        <v>99</v>
      </c>
      <c r="H149" s="4" t="s">
        <v>181</v>
      </c>
      <c r="I149" s="92" t="s">
        <v>498</v>
      </c>
      <c r="J149" s="92" t="s">
        <v>499</v>
      </c>
      <c r="K149" s="4" t="s">
        <v>1</v>
      </c>
      <c r="L149" s="4" t="s">
        <v>1076</v>
      </c>
      <c r="M149" s="7">
        <v>195</v>
      </c>
      <c r="N149" s="7">
        <v>1465</v>
      </c>
      <c r="O149" s="4" t="s">
        <v>1099</v>
      </c>
      <c r="P149" s="4"/>
      <c r="Q149" s="4" t="s">
        <v>1068</v>
      </c>
      <c r="R149" s="4" t="s">
        <v>6</v>
      </c>
      <c r="S149" s="4" t="s">
        <v>420</v>
      </c>
      <c r="T149" s="4" t="s">
        <v>141</v>
      </c>
      <c r="U149" s="4" t="s">
        <v>409</v>
      </c>
      <c r="V149" s="4" t="s">
        <v>149</v>
      </c>
      <c r="W149" s="4" t="s">
        <v>2</v>
      </c>
      <c r="X149" s="4"/>
      <c r="Y149" s="4"/>
    </row>
    <row r="150" spans="1:25">
      <c r="A150" s="4" t="s">
        <v>409</v>
      </c>
      <c r="B150" s="4" t="s">
        <v>141</v>
      </c>
      <c r="C150" s="4" t="s">
        <v>2</v>
      </c>
      <c r="D150" s="4" t="s">
        <v>149</v>
      </c>
      <c r="E150" s="198" t="s">
        <v>431</v>
      </c>
      <c r="F150" s="198" t="s">
        <v>432</v>
      </c>
      <c r="G150" s="4" t="s">
        <v>99</v>
      </c>
      <c r="H150" s="4" t="s">
        <v>181</v>
      </c>
      <c r="I150" s="92" t="s">
        <v>498</v>
      </c>
      <c r="J150" s="92" t="s">
        <v>499</v>
      </c>
      <c r="K150" s="4" t="s">
        <v>1</v>
      </c>
      <c r="L150" s="4" t="s">
        <v>1072</v>
      </c>
      <c r="M150" s="7">
        <v>135</v>
      </c>
      <c r="N150" s="7">
        <v>1050</v>
      </c>
      <c r="O150" s="4" t="s">
        <v>1099</v>
      </c>
      <c r="P150" s="4"/>
      <c r="Q150" s="4" t="s">
        <v>1068</v>
      </c>
      <c r="R150" s="4" t="s">
        <v>6</v>
      </c>
      <c r="S150" s="4" t="s">
        <v>420</v>
      </c>
      <c r="T150" s="4" t="s">
        <v>141</v>
      </c>
      <c r="U150" s="4" t="s">
        <v>409</v>
      </c>
      <c r="V150" s="4" t="s">
        <v>149</v>
      </c>
      <c r="W150" s="4" t="s">
        <v>2</v>
      </c>
      <c r="X150" s="4"/>
      <c r="Y150" s="4"/>
    </row>
    <row r="151" spans="1:25">
      <c r="A151" s="4" t="s">
        <v>409</v>
      </c>
      <c r="B151" s="4" t="s">
        <v>141</v>
      </c>
      <c r="C151" s="4" t="s">
        <v>2</v>
      </c>
      <c r="D151" s="4" t="s">
        <v>149</v>
      </c>
      <c r="E151" s="198" t="s">
        <v>431</v>
      </c>
      <c r="F151" s="198" t="s">
        <v>432</v>
      </c>
      <c r="G151" s="4" t="s">
        <v>99</v>
      </c>
      <c r="H151" s="4" t="s">
        <v>181</v>
      </c>
      <c r="I151" s="92" t="s">
        <v>498</v>
      </c>
      <c r="J151" s="92" t="s">
        <v>499</v>
      </c>
      <c r="K151" s="4" t="s">
        <v>1</v>
      </c>
      <c r="L151" s="4" t="s">
        <v>1073</v>
      </c>
      <c r="M151" s="7">
        <v>243</v>
      </c>
      <c r="N151" s="7">
        <v>1161</v>
      </c>
      <c r="O151" s="4" t="s">
        <v>1099</v>
      </c>
      <c r="P151" s="4"/>
      <c r="Q151" s="4" t="s">
        <v>1068</v>
      </c>
      <c r="R151" s="4" t="s">
        <v>6</v>
      </c>
      <c r="S151" s="4" t="s">
        <v>420</v>
      </c>
      <c r="T151" s="4" t="s">
        <v>141</v>
      </c>
      <c r="U151" s="4" t="s">
        <v>409</v>
      </c>
      <c r="V151" s="4" t="s">
        <v>149</v>
      </c>
      <c r="W151" s="4" t="s">
        <v>2</v>
      </c>
      <c r="X151" s="4"/>
      <c r="Y151" s="4"/>
    </row>
    <row r="152" spans="1:25">
      <c r="A152" s="4" t="s">
        <v>409</v>
      </c>
      <c r="B152" s="4" t="s">
        <v>141</v>
      </c>
      <c r="C152" s="4" t="s">
        <v>2</v>
      </c>
      <c r="D152" s="4" t="s">
        <v>149</v>
      </c>
      <c r="E152" s="198" t="s">
        <v>431</v>
      </c>
      <c r="F152" s="198" t="s">
        <v>432</v>
      </c>
      <c r="G152" s="4" t="s">
        <v>35</v>
      </c>
      <c r="H152" s="4" t="s">
        <v>182</v>
      </c>
      <c r="I152" s="92" t="s">
        <v>435</v>
      </c>
      <c r="J152" s="92" t="s">
        <v>436</v>
      </c>
      <c r="K152" s="4" t="s">
        <v>1</v>
      </c>
      <c r="L152" s="4" t="s">
        <v>1076</v>
      </c>
      <c r="M152" s="7">
        <v>208</v>
      </c>
      <c r="N152" s="7">
        <v>1039</v>
      </c>
      <c r="O152" s="4" t="s">
        <v>1099</v>
      </c>
      <c r="P152" s="4"/>
      <c r="Q152" s="4" t="s">
        <v>1069</v>
      </c>
      <c r="R152" s="4" t="s">
        <v>6</v>
      </c>
      <c r="S152" s="4" t="s">
        <v>420</v>
      </c>
      <c r="T152" s="4" t="s">
        <v>141</v>
      </c>
      <c r="U152" s="4" t="s">
        <v>409</v>
      </c>
      <c r="V152" s="4" t="s">
        <v>149</v>
      </c>
      <c r="W152" s="4" t="s">
        <v>2</v>
      </c>
      <c r="X152" s="4" t="s">
        <v>185</v>
      </c>
      <c r="Y152" s="4" t="s">
        <v>16</v>
      </c>
    </row>
    <row r="153" spans="1:25">
      <c r="A153" s="4" t="s">
        <v>409</v>
      </c>
      <c r="B153" s="4" t="s">
        <v>141</v>
      </c>
      <c r="C153" s="4" t="s">
        <v>2</v>
      </c>
      <c r="D153" s="4" t="s">
        <v>149</v>
      </c>
      <c r="E153" s="198" t="s">
        <v>431</v>
      </c>
      <c r="F153" s="198" t="s">
        <v>432</v>
      </c>
      <c r="G153" s="4" t="s">
        <v>35</v>
      </c>
      <c r="H153" s="4" t="s">
        <v>182</v>
      </c>
      <c r="I153" s="92" t="s">
        <v>435</v>
      </c>
      <c r="J153" s="92" t="s">
        <v>436</v>
      </c>
      <c r="K153" s="4" t="s">
        <v>1</v>
      </c>
      <c r="L153" s="4" t="s">
        <v>1075</v>
      </c>
      <c r="M153" s="7">
        <v>105</v>
      </c>
      <c r="N153" s="7">
        <v>522</v>
      </c>
      <c r="O153" s="4" t="s">
        <v>1099</v>
      </c>
      <c r="P153" s="4"/>
      <c r="Q153" s="4" t="s">
        <v>1068</v>
      </c>
      <c r="R153" s="4" t="s">
        <v>6</v>
      </c>
      <c r="S153" s="4" t="s">
        <v>420</v>
      </c>
      <c r="T153" s="4" t="s">
        <v>141</v>
      </c>
      <c r="U153" s="4" t="s">
        <v>409</v>
      </c>
      <c r="V153" s="4" t="s">
        <v>149</v>
      </c>
      <c r="W153" s="4" t="s">
        <v>2</v>
      </c>
      <c r="X153" s="4"/>
      <c r="Y153" s="4"/>
    </row>
    <row r="154" spans="1:25">
      <c r="A154" s="4" t="s">
        <v>409</v>
      </c>
      <c r="B154" s="4" t="s">
        <v>141</v>
      </c>
      <c r="C154" s="4" t="s">
        <v>2</v>
      </c>
      <c r="D154" s="4" t="s">
        <v>149</v>
      </c>
      <c r="E154" s="198" t="s">
        <v>431</v>
      </c>
      <c r="F154" s="198" t="s">
        <v>432</v>
      </c>
      <c r="G154" s="4" t="s">
        <v>35</v>
      </c>
      <c r="H154" s="4" t="s">
        <v>182</v>
      </c>
      <c r="I154" s="92" t="s">
        <v>435</v>
      </c>
      <c r="J154" s="92" t="s">
        <v>436</v>
      </c>
      <c r="K154" s="4" t="s">
        <v>1</v>
      </c>
      <c r="L154" s="4" t="s">
        <v>1073</v>
      </c>
      <c r="M154" s="7">
        <v>507</v>
      </c>
      <c r="N154" s="7">
        <v>2538</v>
      </c>
      <c r="O154" s="4" t="s">
        <v>1099</v>
      </c>
      <c r="P154" s="4"/>
      <c r="Q154" s="4" t="s">
        <v>1069</v>
      </c>
      <c r="R154" s="4" t="s">
        <v>6</v>
      </c>
      <c r="S154" s="4" t="s">
        <v>420</v>
      </c>
      <c r="T154" s="4" t="s">
        <v>141</v>
      </c>
      <c r="U154" s="4" t="s">
        <v>409</v>
      </c>
      <c r="V154" s="4" t="s">
        <v>149</v>
      </c>
      <c r="W154" s="4" t="s">
        <v>2</v>
      </c>
      <c r="X154" s="4" t="s">
        <v>184</v>
      </c>
      <c r="Y154" s="4" t="s">
        <v>3</v>
      </c>
    </row>
    <row r="155" spans="1:25">
      <c r="A155" s="4" t="s">
        <v>409</v>
      </c>
      <c r="B155" s="4" t="s">
        <v>141</v>
      </c>
      <c r="C155" s="4" t="s">
        <v>2</v>
      </c>
      <c r="D155" s="4" t="s">
        <v>149</v>
      </c>
      <c r="E155" s="198" t="s">
        <v>431</v>
      </c>
      <c r="F155" s="198" t="s">
        <v>432</v>
      </c>
      <c r="G155" s="4" t="s">
        <v>16</v>
      </c>
      <c r="H155" s="4" t="s">
        <v>185</v>
      </c>
      <c r="I155" s="92" t="s">
        <v>496</v>
      </c>
      <c r="J155" s="92" t="s">
        <v>497</v>
      </c>
      <c r="K155" s="4" t="s">
        <v>1</v>
      </c>
      <c r="L155" s="4" t="s">
        <v>1077</v>
      </c>
      <c r="M155" s="7">
        <v>47</v>
      </c>
      <c r="N155" s="7">
        <v>235</v>
      </c>
      <c r="O155" s="4" t="s">
        <v>1099</v>
      </c>
      <c r="P155" s="4"/>
      <c r="Q155" s="4" t="s">
        <v>1068</v>
      </c>
      <c r="R155" s="4" t="s">
        <v>6</v>
      </c>
      <c r="S155" s="4" t="s">
        <v>420</v>
      </c>
      <c r="T155" s="4" t="s">
        <v>141</v>
      </c>
      <c r="U155" s="4" t="s">
        <v>409</v>
      </c>
      <c r="V155" s="4" t="s">
        <v>149</v>
      </c>
      <c r="W155" s="4" t="s">
        <v>2</v>
      </c>
      <c r="X155" s="4"/>
      <c r="Y155" s="4"/>
    </row>
    <row r="156" spans="1:25">
      <c r="A156" s="4" t="s">
        <v>409</v>
      </c>
      <c r="B156" s="4" t="s">
        <v>141</v>
      </c>
      <c r="C156" s="4" t="s">
        <v>2</v>
      </c>
      <c r="D156" s="4" t="s">
        <v>149</v>
      </c>
      <c r="E156" s="198" t="s">
        <v>431</v>
      </c>
      <c r="F156" s="198" t="s">
        <v>432</v>
      </c>
      <c r="G156" s="4" t="s">
        <v>16</v>
      </c>
      <c r="H156" s="4" t="s">
        <v>185</v>
      </c>
      <c r="I156" s="92" t="s">
        <v>496</v>
      </c>
      <c r="J156" s="92" t="s">
        <v>497</v>
      </c>
      <c r="K156" s="4" t="s">
        <v>1</v>
      </c>
      <c r="L156" s="4" t="s">
        <v>1075</v>
      </c>
      <c r="M156" s="7">
        <v>106</v>
      </c>
      <c r="N156" s="7">
        <v>530</v>
      </c>
      <c r="O156" s="4" t="s">
        <v>1099</v>
      </c>
      <c r="P156" s="4"/>
      <c r="Q156" s="4" t="s">
        <v>1068</v>
      </c>
      <c r="R156" s="4" t="s">
        <v>6</v>
      </c>
      <c r="S156" s="4" t="s">
        <v>420</v>
      </c>
      <c r="T156" s="4" t="s">
        <v>141</v>
      </c>
      <c r="U156" s="4" t="s">
        <v>409</v>
      </c>
      <c r="V156" s="4" t="s">
        <v>149</v>
      </c>
      <c r="W156" s="4" t="s">
        <v>2</v>
      </c>
      <c r="X156" s="4"/>
      <c r="Y156" s="4"/>
    </row>
    <row r="157" spans="1:25">
      <c r="A157" s="4" t="s">
        <v>409</v>
      </c>
      <c r="B157" s="4" t="s">
        <v>141</v>
      </c>
      <c r="C157" s="4" t="s">
        <v>2</v>
      </c>
      <c r="D157" s="4" t="s">
        <v>149</v>
      </c>
      <c r="E157" s="198" t="s">
        <v>431</v>
      </c>
      <c r="F157" s="198" t="s">
        <v>432</v>
      </c>
      <c r="G157" s="4" t="s">
        <v>16</v>
      </c>
      <c r="H157" s="4" t="s">
        <v>185</v>
      </c>
      <c r="I157" s="92" t="s">
        <v>496</v>
      </c>
      <c r="J157" s="92" t="s">
        <v>497</v>
      </c>
      <c r="K157" s="4" t="s">
        <v>1</v>
      </c>
      <c r="L157" s="4" t="s">
        <v>1072</v>
      </c>
      <c r="M157" s="7">
        <v>236</v>
      </c>
      <c r="N157" s="7">
        <v>1180</v>
      </c>
      <c r="O157" s="4" t="s">
        <v>1099</v>
      </c>
      <c r="P157" s="4"/>
      <c r="Q157" s="4" t="s">
        <v>1068</v>
      </c>
      <c r="R157" s="4" t="s">
        <v>6</v>
      </c>
      <c r="S157" s="4" t="s">
        <v>420</v>
      </c>
      <c r="T157" s="4" t="s">
        <v>141</v>
      </c>
      <c r="U157" s="4" t="s">
        <v>409</v>
      </c>
      <c r="V157" s="4" t="s">
        <v>149</v>
      </c>
      <c r="W157" s="4" t="s">
        <v>2</v>
      </c>
      <c r="X157" s="4"/>
      <c r="Y157" s="4"/>
    </row>
    <row r="158" spans="1:25">
      <c r="A158" s="4" t="s">
        <v>409</v>
      </c>
      <c r="B158" s="4" t="s">
        <v>141</v>
      </c>
      <c r="C158" s="4" t="s">
        <v>2</v>
      </c>
      <c r="D158" s="4" t="s">
        <v>149</v>
      </c>
      <c r="E158" s="198" t="s">
        <v>431</v>
      </c>
      <c r="F158" s="198" t="s">
        <v>432</v>
      </c>
      <c r="G158" s="4" t="s">
        <v>16</v>
      </c>
      <c r="H158" s="4" t="s">
        <v>185</v>
      </c>
      <c r="I158" s="92" t="s">
        <v>496</v>
      </c>
      <c r="J158" s="92" t="s">
        <v>497</v>
      </c>
      <c r="K158" s="4" t="s">
        <v>1</v>
      </c>
      <c r="L158" s="4" t="s">
        <v>1073</v>
      </c>
      <c r="M158" s="7">
        <v>644</v>
      </c>
      <c r="N158" s="7">
        <v>3220</v>
      </c>
      <c r="O158" s="4" t="s">
        <v>1099</v>
      </c>
      <c r="P158" s="4"/>
      <c r="Q158" s="4" t="s">
        <v>1068</v>
      </c>
      <c r="R158" s="4" t="s">
        <v>6</v>
      </c>
      <c r="S158" s="4" t="s">
        <v>420</v>
      </c>
      <c r="T158" s="4" t="s">
        <v>141</v>
      </c>
      <c r="U158" s="4" t="s">
        <v>409</v>
      </c>
      <c r="V158" s="4" t="s">
        <v>149</v>
      </c>
      <c r="W158" s="4" t="s">
        <v>2</v>
      </c>
      <c r="X158" s="4"/>
      <c r="Y158" s="4"/>
    </row>
    <row r="159" spans="1:25">
      <c r="A159" s="4" t="s">
        <v>409</v>
      </c>
      <c r="B159" s="4" t="s">
        <v>141</v>
      </c>
      <c r="C159" s="4" t="s">
        <v>2</v>
      </c>
      <c r="D159" s="4" t="s">
        <v>149</v>
      </c>
      <c r="E159" s="198" t="s">
        <v>431</v>
      </c>
      <c r="F159" s="198" t="s">
        <v>432</v>
      </c>
      <c r="G159" s="4" t="s">
        <v>410</v>
      </c>
      <c r="H159" s="4" t="s">
        <v>186</v>
      </c>
      <c r="I159" s="92" t="s">
        <v>482</v>
      </c>
      <c r="J159" s="92" t="s">
        <v>483</v>
      </c>
      <c r="K159" s="4" t="s">
        <v>1</v>
      </c>
      <c r="L159" s="4" t="s">
        <v>1073</v>
      </c>
      <c r="M159" s="7">
        <v>65</v>
      </c>
      <c r="N159" s="7">
        <v>320</v>
      </c>
      <c r="O159" s="4" t="s">
        <v>1099</v>
      </c>
      <c r="P159" s="4"/>
      <c r="Q159" s="4" t="s">
        <v>1069</v>
      </c>
      <c r="R159" s="4" t="s">
        <v>6</v>
      </c>
      <c r="S159" s="4" t="s">
        <v>420</v>
      </c>
      <c r="T159" s="4" t="s">
        <v>141</v>
      </c>
      <c r="U159" s="4" t="s">
        <v>409</v>
      </c>
      <c r="V159" s="4" t="s">
        <v>149</v>
      </c>
      <c r="W159" s="4" t="s">
        <v>2</v>
      </c>
      <c r="X159" s="4"/>
      <c r="Y159" s="4"/>
    </row>
    <row r="160" spans="1:25">
      <c r="A160" s="4" t="s">
        <v>409</v>
      </c>
      <c r="B160" s="4" t="s">
        <v>141</v>
      </c>
      <c r="C160" s="4" t="s">
        <v>2</v>
      </c>
      <c r="D160" s="4" t="s">
        <v>149</v>
      </c>
      <c r="E160" s="198" t="s">
        <v>431</v>
      </c>
      <c r="F160" s="198" t="s">
        <v>432</v>
      </c>
      <c r="G160" s="4" t="s">
        <v>410</v>
      </c>
      <c r="H160" s="4" t="s">
        <v>186</v>
      </c>
      <c r="I160" s="92" t="s">
        <v>482</v>
      </c>
      <c r="J160" s="92" t="s">
        <v>483</v>
      </c>
      <c r="K160" s="4" t="s">
        <v>1</v>
      </c>
      <c r="L160" s="4" t="s">
        <v>1075</v>
      </c>
      <c r="M160" s="7">
        <v>5</v>
      </c>
      <c r="N160" s="7">
        <v>20</v>
      </c>
      <c r="O160" s="4" t="s">
        <v>1099</v>
      </c>
      <c r="P160" s="4"/>
      <c r="Q160" s="4" t="s">
        <v>1067</v>
      </c>
      <c r="R160" s="4" t="s">
        <v>6</v>
      </c>
      <c r="S160" s="4" t="s">
        <v>420</v>
      </c>
      <c r="T160" s="4" t="s">
        <v>141</v>
      </c>
      <c r="U160" s="4" t="s">
        <v>409</v>
      </c>
      <c r="V160" s="4" t="s">
        <v>148</v>
      </c>
      <c r="W160" s="4" t="s">
        <v>27</v>
      </c>
      <c r="X160" s="4"/>
      <c r="Y160" s="4"/>
    </row>
    <row r="161" spans="1:25">
      <c r="A161" s="4" t="s">
        <v>409</v>
      </c>
      <c r="B161" s="4" t="s">
        <v>141</v>
      </c>
      <c r="C161" s="4" t="s">
        <v>2</v>
      </c>
      <c r="D161" s="4" t="s">
        <v>149</v>
      </c>
      <c r="E161" s="198" t="s">
        <v>431</v>
      </c>
      <c r="F161" s="198" t="s">
        <v>432</v>
      </c>
      <c r="G161" s="4" t="s">
        <v>410</v>
      </c>
      <c r="H161" s="4" t="s">
        <v>186</v>
      </c>
      <c r="I161" s="92" t="s">
        <v>482</v>
      </c>
      <c r="J161" s="92" t="s">
        <v>483</v>
      </c>
      <c r="K161" s="4" t="s">
        <v>1</v>
      </c>
      <c r="L161" s="4" t="s">
        <v>1072</v>
      </c>
      <c r="M161" s="7">
        <v>32</v>
      </c>
      <c r="N161" s="7">
        <v>147</v>
      </c>
      <c r="O161" s="4" t="s">
        <v>1099</v>
      </c>
      <c r="P161" s="4"/>
      <c r="Q161" s="4" t="s">
        <v>1067</v>
      </c>
      <c r="R161" s="4" t="s">
        <v>6</v>
      </c>
      <c r="S161" s="4" t="s">
        <v>420</v>
      </c>
      <c r="T161" s="4" t="s">
        <v>141</v>
      </c>
      <c r="U161" s="4" t="s">
        <v>409</v>
      </c>
      <c r="V161" s="4" t="s">
        <v>148</v>
      </c>
      <c r="W161" s="4" t="s">
        <v>27</v>
      </c>
      <c r="X161" s="4"/>
      <c r="Y161" s="4"/>
    </row>
    <row r="162" spans="1:25">
      <c r="A162" s="4" t="s">
        <v>409</v>
      </c>
      <c r="B162" s="4" t="s">
        <v>141</v>
      </c>
      <c r="C162" s="4" t="s">
        <v>2</v>
      </c>
      <c r="D162" s="4" t="s">
        <v>149</v>
      </c>
      <c r="E162" s="198" t="s">
        <v>431</v>
      </c>
      <c r="F162" s="198" t="s">
        <v>432</v>
      </c>
      <c r="G162" s="4" t="s">
        <v>14</v>
      </c>
      <c r="H162" s="4" t="s">
        <v>187</v>
      </c>
      <c r="I162" s="198" t="s">
        <v>439</v>
      </c>
      <c r="J162" s="198" t="s">
        <v>440</v>
      </c>
      <c r="K162" s="4" t="s">
        <v>1066</v>
      </c>
      <c r="L162" s="4" t="s">
        <v>1073</v>
      </c>
      <c r="M162" s="7">
        <v>4</v>
      </c>
      <c r="N162" s="7">
        <v>18</v>
      </c>
      <c r="O162" s="4"/>
      <c r="P162" s="4"/>
      <c r="Q162" s="4" t="s">
        <v>1071</v>
      </c>
      <c r="R162" s="4" t="s">
        <v>6</v>
      </c>
      <c r="S162" s="4" t="s">
        <v>420</v>
      </c>
      <c r="T162" s="4" t="s">
        <v>141</v>
      </c>
      <c r="U162" s="4" t="s">
        <v>409</v>
      </c>
      <c r="V162" s="4"/>
      <c r="W162" s="4"/>
      <c r="X162" s="4"/>
      <c r="Y162" s="4"/>
    </row>
    <row r="163" spans="1:25">
      <c r="A163" s="4" t="s">
        <v>409</v>
      </c>
      <c r="B163" s="4" t="s">
        <v>141</v>
      </c>
      <c r="C163" s="4" t="s">
        <v>2</v>
      </c>
      <c r="D163" s="4" t="s">
        <v>149</v>
      </c>
      <c r="E163" s="198" t="s">
        <v>431</v>
      </c>
      <c r="F163" s="198" t="s">
        <v>432</v>
      </c>
      <c r="G163" s="4" t="s">
        <v>14</v>
      </c>
      <c r="H163" s="4" t="s">
        <v>187</v>
      </c>
      <c r="I163" s="198" t="s">
        <v>439</v>
      </c>
      <c r="J163" s="198" t="s">
        <v>440</v>
      </c>
      <c r="K163" s="4" t="s">
        <v>1066</v>
      </c>
      <c r="L163" s="4" t="s">
        <v>1072</v>
      </c>
      <c r="M163" s="7">
        <v>2</v>
      </c>
      <c r="N163" s="7">
        <v>9</v>
      </c>
      <c r="O163" s="4"/>
      <c r="P163" s="4"/>
      <c r="Q163" s="4" t="s">
        <v>1071</v>
      </c>
      <c r="R163" s="4" t="s">
        <v>6</v>
      </c>
      <c r="S163" s="4" t="s">
        <v>420</v>
      </c>
      <c r="T163" s="4" t="s">
        <v>143</v>
      </c>
      <c r="U163" s="4" t="s">
        <v>511</v>
      </c>
      <c r="V163" s="4"/>
      <c r="W163" s="4"/>
      <c r="X163" s="4"/>
      <c r="Y163" s="4"/>
    </row>
    <row r="164" spans="1:25">
      <c r="A164" s="4" t="s">
        <v>409</v>
      </c>
      <c r="B164" s="4" t="s">
        <v>141</v>
      </c>
      <c r="C164" s="4" t="s">
        <v>2</v>
      </c>
      <c r="D164" s="4" t="s">
        <v>149</v>
      </c>
      <c r="E164" s="198" t="s">
        <v>431</v>
      </c>
      <c r="F164" s="198" t="s">
        <v>432</v>
      </c>
      <c r="G164" s="4" t="s">
        <v>14</v>
      </c>
      <c r="H164" s="4" t="s">
        <v>187</v>
      </c>
      <c r="I164" s="198" t="s">
        <v>439</v>
      </c>
      <c r="J164" s="198" t="s">
        <v>440</v>
      </c>
      <c r="K164" s="4" t="s">
        <v>1066</v>
      </c>
      <c r="L164" s="4" t="s">
        <v>1077</v>
      </c>
      <c r="M164" s="7">
        <v>2</v>
      </c>
      <c r="N164" s="7">
        <v>12</v>
      </c>
      <c r="O164" s="4"/>
      <c r="P164" s="4"/>
      <c r="Q164" s="4" t="s">
        <v>1071</v>
      </c>
      <c r="R164" s="4" t="s">
        <v>6</v>
      </c>
      <c r="S164" s="4" t="s">
        <v>420</v>
      </c>
      <c r="T164" s="4" t="s">
        <v>141</v>
      </c>
      <c r="U164" s="4" t="s">
        <v>409</v>
      </c>
      <c r="V164" s="4"/>
      <c r="W164" s="4"/>
      <c r="X164" s="4"/>
      <c r="Y164" s="4"/>
    </row>
    <row r="165" spans="1:25">
      <c r="A165" s="4" t="s">
        <v>409</v>
      </c>
      <c r="B165" s="4" t="s">
        <v>141</v>
      </c>
      <c r="C165" s="4" t="s">
        <v>2</v>
      </c>
      <c r="D165" s="4" t="s">
        <v>149</v>
      </c>
      <c r="E165" s="198" t="s">
        <v>431</v>
      </c>
      <c r="F165" s="198" t="s">
        <v>432</v>
      </c>
      <c r="G165" s="4" t="s">
        <v>36</v>
      </c>
      <c r="H165" s="4" t="s">
        <v>183</v>
      </c>
      <c r="I165" s="198" t="s">
        <v>437</v>
      </c>
      <c r="J165" s="198" t="s">
        <v>438</v>
      </c>
      <c r="K165" s="4" t="s">
        <v>1066</v>
      </c>
      <c r="L165" s="4" t="s">
        <v>1072</v>
      </c>
      <c r="M165" s="7">
        <v>9</v>
      </c>
      <c r="N165" s="7">
        <v>63</v>
      </c>
      <c r="O165" s="4"/>
      <c r="P165" s="4"/>
      <c r="Q165" s="4" t="s">
        <v>1071</v>
      </c>
      <c r="R165" s="4" t="s">
        <v>6</v>
      </c>
      <c r="S165" s="4" t="s">
        <v>420</v>
      </c>
      <c r="T165" s="4" t="s">
        <v>143</v>
      </c>
      <c r="U165" s="4" t="s">
        <v>511</v>
      </c>
      <c r="V165" s="4"/>
      <c r="W165" s="4"/>
      <c r="X165" s="4"/>
      <c r="Y165" s="4"/>
    </row>
    <row r="166" spans="1:25">
      <c r="A166" s="4" t="s">
        <v>409</v>
      </c>
      <c r="B166" s="4" t="s">
        <v>141</v>
      </c>
      <c r="C166" s="4" t="s">
        <v>2</v>
      </c>
      <c r="D166" s="4" t="s">
        <v>149</v>
      </c>
      <c r="E166" s="198" t="s">
        <v>431</v>
      </c>
      <c r="F166" s="198" t="s">
        <v>432</v>
      </c>
      <c r="G166" s="4" t="s">
        <v>99</v>
      </c>
      <c r="H166" s="4" t="s">
        <v>181</v>
      </c>
      <c r="I166" s="198" t="s">
        <v>498</v>
      </c>
      <c r="J166" s="198" t="s">
        <v>499</v>
      </c>
      <c r="K166" s="4" t="s">
        <v>1066</v>
      </c>
      <c r="L166" s="4" t="s">
        <v>1072</v>
      </c>
      <c r="M166" s="7">
        <v>49</v>
      </c>
      <c r="N166" s="7">
        <v>355</v>
      </c>
      <c r="O166" s="4"/>
      <c r="P166" s="4"/>
      <c r="Q166" s="4" t="s">
        <v>1071</v>
      </c>
      <c r="R166" s="4" t="s">
        <v>6</v>
      </c>
      <c r="S166" s="4" t="s">
        <v>420</v>
      </c>
      <c r="T166" s="4" t="s">
        <v>141</v>
      </c>
      <c r="U166" s="4" t="s">
        <v>409</v>
      </c>
      <c r="V166" s="4"/>
      <c r="W166" s="4"/>
      <c r="X166" s="4"/>
      <c r="Y166" s="4"/>
    </row>
    <row r="167" spans="1:25">
      <c r="A167" s="4" t="s">
        <v>409</v>
      </c>
      <c r="B167" s="4" t="s">
        <v>141</v>
      </c>
      <c r="C167" s="4" t="s">
        <v>2</v>
      </c>
      <c r="D167" s="4" t="s">
        <v>149</v>
      </c>
      <c r="E167" s="198" t="s">
        <v>431</v>
      </c>
      <c r="F167" s="198" t="s">
        <v>432</v>
      </c>
      <c r="G167" s="4" t="s">
        <v>99</v>
      </c>
      <c r="H167" s="4" t="s">
        <v>181</v>
      </c>
      <c r="I167" s="198" t="s">
        <v>498</v>
      </c>
      <c r="J167" s="198" t="s">
        <v>499</v>
      </c>
      <c r="K167" s="4" t="s">
        <v>1066</v>
      </c>
      <c r="L167" s="4" t="s">
        <v>1077</v>
      </c>
      <c r="M167" s="7">
        <v>34</v>
      </c>
      <c r="N167" s="7">
        <v>254</v>
      </c>
      <c r="O167" s="4"/>
      <c r="P167" s="4"/>
      <c r="Q167" s="4" t="s">
        <v>1071</v>
      </c>
      <c r="R167" s="4" t="s">
        <v>6</v>
      </c>
      <c r="S167" s="4" t="s">
        <v>420</v>
      </c>
      <c r="T167" s="4" t="s">
        <v>141</v>
      </c>
      <c r="U167" s="4" t="s">
        <v>409</v>
      </c>
      <c r="V167" s="4"/>
      <c r="W167" s="4"/>
      <c r="X167" s="4"/>
      <c r="Y167" s="4"/>
    </row>
    <row r="168" spans="1:25">
      <c r="A168" s="137" t="s">
        <v>1225</v>
      </c>
      <c r="B168" s="137" t="s">
        <v>141</v>
      </c>
      <c r="C168" s="4" t="s">
        <v>2</v>
      </c>
      <c r="D168" s="4" t="s">
        <v>149</v>
      </c>
      <c r="E168" s="198">
        <v>13.784815459887</v>
      </c>
      <c r="F168" s="198">
        <v>10.8245672347739</v>
      </c>
      <c r="G168" s="4" t="s">
        <v>99</v>
      </c>
      <c r="H168" s="4" t="s">
        <v>181</v>
      </c>
      <c r="I168" s="198">
        <v>13.633551602562299</v>
      </c>
      <c r="J168" s="198">
        <v>10.53</v>
      </c>
      <c r="K168" s="4" t="s">
        <v>1066</v>
      </c>
      <c r="L168" s="4" t="s">
        <v>1073</v>
      </c>
      <c r="M168" s="7">
        <v>37</v>
      </c>
      <c r="N168" s="7">
        <v>185</v>
      </c>
      <c r="O168" s="4"/>
      <c r="P168" s="4"/>
      <c r="Q168" s="4" t="s">
        <v>1226</v>
      </c>
      <c r="R168" s="4" t="s">
        <v>402</v>
      </c>
      <c r="S168" s="4" t="s">
        <v>500</v>
      </c>
      <c r="T168" s="4" t="s">
        <v>42</v>
      </c>
      <c r="U168" s="4" t="s">
        <v>501</v>
      </c>
      <c r="V168" s="4"/>
      <c r="W168" s="4"/>
      <c r="X168" s="4"/>
      <c r="Y168" s="4"/>
    </row>
    <row r="169" spans="1:25">
      <c r="A169" s="137" t="s">
        <v>1225</v>
      </c>
      <c r="B169" s="137" t="s">
        <v>141</v>
      </c>
      <c r="C169" s="4" t="s">
        <v>2</v>
      </c>
      <c r="D169" s="4" t="s">
        <v>149</v>
      </c>
      <c r="E169" s="198">
        <v>13.784815459887</v>
      </c>
      <c r="F169" s="198">
        <v>10.8245672347739</v>
      </c>
      <c r="G169" s="4" t="s">
        <v>99</v>
      </c>
      <c r="H169" s="4" t="s">
        <v>181</v>
      </c>
      <c r="I169" s="198">
        <v>13.633551602562299</v>
      </c>
      <c r="J169" s="198">
        <v>10.53</v>
      </c>
      <c r="K169" s="4" t="s">
        <v>1066</v>
      </c>
      <c r="L169" s="4" t="s">
        <v>1072</v>
      </c>
      <c r="M169" s="7">
        <v>20</v>
      </c>
      <c r="N169" s="7">
        <v>100</v>
      </c>
      <c r="O169" s="4"/>
      <c r="P169" s="4"/>
      <c r="Q169" s="4" t="s">
        <v>1226</v>
      </c>
      <c r="R169" s="4" t="s">
        <v>402</v>
      </c>
      <c r="S169" s="4" t="s">
        <v>500</v>
      </c>
      <c r="T169" s="4" t="s">
        <v>42</v>
      </c>
      <c r="U169" s="4" t="s">
        <v>501</v>
      </c>
      <c r="V169" s="4"/>
      <c r="W169" s="4"/>
      <c r="X169" s="4"/>
      <c r="Y169" s="4"/>
    </row>
    <row r="170" spans="1:25">
      <c r="A170" s="137" t="s">
        <v>1225</v>
      </c>
      <c r="B170" s="137" t="s">
        <v>141</v>
      </c>
      <c r="C170" s="4" t="s">
        <v>2</v>
      </c>
      <c r="D170" s="4" t="s">
        <v>149</v>
      </c>
      <c r="E170" s="198">
        <v>13.784815459887</v>
      </c>
      <c r="F170" s="198">
        <v>10.8245672347739</v>
      </c>
      <c r="G170" s="4" t="s">
        <v>99</v>
      </c>
      <c r="H170" s="4" t="s">
        <v>181</v>
      </c>
      <c r="I170" s="198">
        <v>13.633551602562299</v>
      </c>
      <c r="J170" s="198">
        <v>10.53</v>
      </c>
      <c r="K170" s="4" t="s">
        <v>1066</v>
      </c>
      <c r="L170" s="4" t="s">
        <v>1076</v>
      </c>
      <c r="M170" s="7">
        <v>29</v>
      </c>
      <c r="N170" s="7">
        <v>225</v>
      </c>
      <c r="O170" s="4"/>
      <c r="P170" s="4"/>
      <c r="Q170" s="4" t="s">
        <v>1226</v>
      </c>
      <c r="R170" s="4" t="s">
        <v>402</v>
      </c>
      <c r="S170" s="4" t="s">
        <v>500</v>
      </c>
      <c r="T170" s="4" t="s">
        <v>42</v>
      </c>
      <c r="U170" s="4" t="s">
        <v>501</v>
      </c>
      <c r="V170" s="4"/>
      <c r="W170" s="4"/>
      <c r="X170" s="4"/>
      <c r="Y170" s="4"/>
    </row>
    <row r="171" spans="1:25">
      <c r="A171" s="137" t="s">
        <v>1225</v>
      </c>
      <c r="B171" s="137" t="s">
        <v>141</v>
      </c>
      <c r="C171" s="4" t="s">
        <v>2</v>
      </c>
      <c r="D171" s="4" t="s">
        <v>149</v>
      </c>
      <c r="E171" s="198">
        <v>13.784815459887</v>
      </c>
      <c r="F171" s="198">
        <v>10.8245672347739</v>
      </c>
      <c r="G171" s="4" t="s">
        <v>99</v>
      </c>
      <c r="H171" s="4" t="s">
        <v>181</v>
      </c>
      <c r="I171" s="198">
        <v>13.633551602562299</v>
      </c>
      <c r="J171" s="198">
        <v>10.53</v>
      </c>
      <c r="K171" s="4" t="s">
        <v>1066</v>
      </c>
      <c r="L171" s="4" t="s">
        <v>1075</v>
      </c>
      <c r="M171" s="7">
        <v>20</v>
      </c>
      <c r="N171" s="7">
        <v>165</v>
      </c>
      <c r="O171" s="4"/>
      <c r="P171" s="4"/>
      <c r="Q171" s="4" t="s">
        <v>1226</v>
      </c>
      <c r="R171" s="4" t="s">
        <v>402</v>
      </c>
      <c r="S171" s="4" t="s">
        <v>500</v>
      </c>
      <c r="T171" s="4" t="s">
        <v>42</v>
      </c>
      <c r="U171" s="4" t="s">
        <v>501</v>
      </c>
      <c r="V171" s="4"/>
      <c r="W171" s="4"/>
      <c r="X171" s="4"/>
      <c r="Y171" s="4"/>
    </row>
    <row r="172" spans="1:25">
      <c r="A172" s="4" t="s">
        <v>409</v>
      </c>
      <c r="B172" s="4" t="s">
        <v>141</v>
      </c>
      <c r="C172" s="4" t="s">
        <v>2</v>
      </c>
      <c r="D172" s="4" t="s">
        <v>149</v>
      </c>
      <c r="E172" s="198" t="s">
        <v>431</v>
      </c>
      <c r="F172" s="198" t="s">
        <v>432</v>
      </c>
      <c r="G172" s="4" t="s">
        <v>35</v>
      </c>
      <c r="H172" s="4" t="s">
        <v>182</v>
      </c>
      <c r="I172" s="198" t="s">
        <v>435</v>
      </c>
      <c r="J172" s="198" t="s">
        <v>436</v>
      </c>
      <c r="K172" s="4" t="s">
        <v>1066</v>
      </c>
      <c r="L172" s="4" t="s">
        <v>1073</v>
      </c>
      <c r="M172" s="7">
        <v>405</v>
      </c>
      <c r="N172" s="7">
        <v>2025</v>
      </c>
      <c r="O172" s="4"/>
      <c r="P172" s="4"/>
      <c r="Q172" s="4" t="s">
        <v>1070</v>
      </c>
      <c r="R172" s="4" t="s">
        <v>402</v>
      </c>
      <c r="S172" s="4" t="s">
        <v>500</v>
      </c>
      <c r="T172" s="4" t="s">
        <v>42</v>
      </c>
      <c r="U172" s="4" t="s">
        <v>501</v>
      </c>
      <c r="V172" s="4"/>
      <c r="W172" s="4"/>
      <c r="X172" s="4"/>
      <c r="Y172" s="4"/>
    </row>
    <row r="173" spans="1:25">
      <c r="A173" s="4" t="s">
        <v>409</v>
      </c>
      <c r="B173" s="4" t="s">
        <v>141</v>
      </c>
      <c r="C173" s="4" t="s">
        <v>2</v>
      </c>
      <c r="D173" s="4" t="s">
        <v>149</v>
      </c>
      <c r="E173" s="198" t="s">
        <v>431</v>
      </c>
      <c r="F173" s="198" t="s">
        <v>432</v>
      </c>
      <c r="G173" s="4" t="s">
        <v>16</v>
      </c>
      <c r="H173" s="4" t="s">
        <v>185</v>
      </c>
      <c r="I173" s="198" t="s">
        <v>496</v>
      </c>
      <c r="J173" s="198" t="s">
        <v>497</v>
      </c>
      <c r="K173" s="4" t="s">
        <v>1066</v>
      </c>
      <c r="L173" s="4" t="s">
        <v>1077</v>
      </c>
      <c r="M173" s="7">
        <v>41</v>
      </c>
      <c r="N173" s="7">
        <v>205</v>
      </c>
      <c r="O173" s="4"/>
      <c r="P173" s="4"/>
      <c r="Q173" s="4" t="s">
        <v>1071</v>
      </c>
      <c r="R173" s="4" t="s">
        <v>6</v>
      </c>
      <c r="S173" s="4" t="s">
        <v>420</v>
      </c>
      <c r="T173" s="4" t="s">
        <v>143</v>
      </c>
      <c r="U173" s="4" t="s">
        <v>511</v>
      </c>
      <c r="V173" s="4"/>
      <c r="W173" s="4"/>
      <c r="X173" s="4"/>
      <c r="Y173" s="4"/>
    </row>
    <row r="174" spans="1:25">
      <c r="A174" s="4" t="s">
        <v>409</v>
      </c>
      <c r="B174" s="4" t="s">
        <v>141</v>
      </c>
      <c r="C174" s="4" t="s">
        <v>2</v>
      </c>
      <c r="D174" s="4" t="s">
        <v>149</v>
      </c>
      <c r="E174" s="198" t="s">
        <v>431</v>
      </c>
      <c r="F174" s="198" t="s">
        <v>432</v>
      </c>
      <c r="G174" s="4" t="s">
        <v>410</v>
      </c>
      <c r="H174" s="4" t="s">
        <v>186</v>
      </c>
      <c r="I174" s="198" t="s">
        <v>482</v>
      </c>
      <c r="J174" s="198" t="s">
        <v>483</v>
      </c>
      <c r="K174" s="4" t="s">
        <v>1066</v>
      </c>
      <c r="L174" s="4" t="s">
        <v>1077</v>
      </c>
      <c r="M174" s="7">
        <v>10</v>
      </c>
      <c r="N174" s="7">
        <v>30</v>
      </c>
      <c r="O174" s="4"/>
      <c r="P174" s="4"/>
      <c r="Q174" s="4" t="s">
        <v>1071</v>
      </c>
      <c r="R174" s="4" t="s">
        <v>6</v>
      </c>
      <c r="S174" s="4" t="s">
        <v>420</v>
      </c>
      <c r="T174" s="4" t="s">
        <v>141</v>
      </c>
      <c r="U174" s="4" t="s">
        <v>409</v>
      </c>
      <c r="V174" s="4"/>
      <c r="W174" s="4"/>
      <c r="X174" s="4"/>
      <c r="Y174" s="4"/>
    </row>
    <row r="175" spans="1:25">
      <c r="A175" s="4" t="s">
        <v>409</v>
      </c>
      <c r="B175" s="4" t="s">
        <v>141</v>
      </c>
      <c r="C175" s="4" t="s">
        <v>2</v>
      </c>
      <c r="D175" s="4" t="s">
        <v>149</v>
      </c>
      <c r="E175" s="198" t="s">
        <v>431</v>
      </c>
      <c r="F175" s="198" t="s">
        <v>432</v>
      </c>
      <c r="G175" s="4" t="s">
        <v>410</v>
      </c>
      <c r="H175" s="4" t="s">
        <v>186</v>
      </c>
      <c r="I175" s="198" t="s">
        <v>482</v>
      </c>
      <c r="J175" s="198" t="s">
        <v>483</v>
      </c>
      <c r="K175" s="4" t="s">
        <v>1066</v>
      </c>
      <c r="L175" s="4" t="s">
        <v>1075</v>
      </c>
      <c r="M175" s="7">
        <v>13</v>
      </c>
      <c r="N175" s="7">
        <v>43</v>
      </c>
      <c r="O175" s="4"/>
      <c r="P175" s="4"/>
      <c r="Q175" s="4" t="s">
        <v>1071</v>
      </c>
      <c r="R175" s="4" t="s">
        <v>6</v>
      </c>
      <c r="S175" s="4" t="s">
        <v>420</v>
      </c>
      <c r="T175" s="4" t="s">
        <v>141</v>
      </c>
      <c r="U175" s="4" t="s">
        <v>409</v>
      </c>
      <c r="V175" s="4"/>
      <c r="W175" s="4"/>
      <c r="X175" s="4"/>
      <c r="Y175" s="4"/>
    </row>
    <row r="176" spans="1:25">
      <c r="A176" s="4" t="s">
        <v>409</v>
      </c>
      <c r="B176" s="4" t="s">
        <v>141</v>
      </c>
      <c r="C176" s="4" t="s">
        <v>2</v>
      </c>
      <c r="D176" s="4" t="s">
        <v>149</v>
      </c>
      <c r="E176" s="198" t="s">
        <v>431</v>
      </c>
      <c r="F176" s="198" t="s">
        <v>432</v>
      </c>
      <c r="G176" s="4" t="s">
        <v>410</v>
      </c>
      <c r="H176" s="4" t="s">
        <v>186</v>
      </c>
      <c r="I176" s="198" t="s">
        <v>482</v>
      </c>
      <c r="J176" s="198" t="s">
        <v>483</v>
      </c>
      <c r="K176" s="4" t="s">
        <v>1066</v>
      </c>
      <c r="L176" s="4" t="s">
        <v>1072</v>
      </c>
      <c r="M176" s="7">
        <v>15</v>
      </c>
      <c r="N176" s="7">
        <v>49</v>
      </c>
      <c r="O176" s="4"/>
      <c r="P176" s="4"/>
      <c r="Q176" s="4" t="s">
        <v>1071</v>
      </c>
      <c r="R176" s="4" t="s">
        <v>6</v>
      </c>
      <c r="S176" s="4" t="s">
        <v>420</v>
      </c>
      <c r="T176" s="4" t="s">
        <v>141</v>
      </c>
      <c r="U176" s="4" t="s">
        <v>409</v>
      </c>
      <c r="V176" s="4"/>
      <c r="W176" s="4"/>
      <c r="X176" s="4"/>
      <c r="Y176" s="4"/>
    </row>
    <row r="177" spans="1:25">
      <c r="A177" s="137" t="s">
        <v>1225</v>
      </c>
      <c r="B177" s="137" t="s">
        <v>141</v>
      </c>
      <c r="C177" s="4" t="s">
        <v>2</v>
      </c>
      <c r="D177" s="4" t="s">
        <v>149</v>
      </c>
      <c r="E177" s="198">
        <v>13.784815459887</v>
      </c>
      <c r="F177" s="198">
        <v>10.8245672347739</v>
      </c>
      <c r="G177" s="4" t="s">
        <v>3</v>
      </c>
      <c r="H177" s="4" t="s">
        <v>184</v>
      </c>
      <c r="I177" s="198">
        <v>13.888</v>
      </c>
      <c r="J177" s="198">
        <v>10.883336078829901</v>
      </c>
      <c r="K177" s="4" t="s">
        <v>1066</v>
      </c>
      <c r="L177" s="4" t="s">
        <v>1073</v>
      </c>
      <c r="M177" s="7">
        <v>25</v>
      </c>
      <c r="N177" s="7">
        <v>153</v>
      </c>
      <c r="O177" s="4"/>
      <c r="P177" s="4"/>
      <c r="Q177" s="4" t="s">
        <v>1229</v>
      </c>
      <c r="R177" s="4" t="s">
        <v>402</v>
      </c>
      <c r="S177" s="40" t="s">
        <v>500</v>
      </c>
      <c r="T177" s="4" t="s">
        <v>42</v>
      </c>
      <c r="U177" s="4" t="s">
        <v>501</v>
      </c>
      <c r="V177" s="4" t="s">
        <v>42</v>
      </c>
      <c r="W177" s="4"/>
      <c r="X177" s="4"/>
      <c r="Y177" s="4"/>
    </row>
    <row r="178" spans="1:25">
      <c r="A178" s="137" t="s">
        <v>1225</v>
      </c>
      <c r="B178" s="137" t="s">
        <v>141</v>
      </c>
      <c r="C178" s="4" t="s">
        <v>2</v>
      </c>
      <c r="D178" s="4" t="s">
        <v>149</v>
      </c>
      <c r="E178" s="198">
        <v>13.784815459887</v>
      </c>
      <c r="F178" s="198">
        <v>10.8245672347739</v>
      </c>
      <c r="G178" s="4" t="s">
        <v>3</v>
      </c>
      <c r="H178" s="4" t="s">
        <v>184</v>
      </c>
      <c r="I178" s="198">
        <v>13.888</v>
      </c>
      <c r="J178" s="198">
        <v>10.883336078829901</v>
      </c>
      <c r="K178" s="4" t="s">
        <v>1066</v>
      </c>
      <c r="L178" s="4" t="s">
        <v>1072</v>
      </c>
      <c r="M178" s="7">
        <v>11</v>
      </c>
      <c r="N178" s="7">
        <v>63</v>
      </c>
      <c r="O178" s="4"/>
      <c r="P178" s="4"/>
      <c r="Q178" s="4" t="s">
        <v>1229</v>
      </c>
      <c r="R178" s="4" t="s">
        <v>6</v>
      </c>
      <c r="S178" s="40" t="s">
        <v>420</v>
      </c>
      <c r="T178" s="4" t="s">
        <v>143</v>
      </c>
      <c r="U178" s="40" t="s">
        <v>504</v>
      </c>
      <c r="V178" s="138" t="s">
        <v>405</v>
      </c>
      <c r="W178" s="138"/>
      <c r="X178" s="4"/>
      <c r="Y178" s="4"/>
    </row>
  </sheetData>
  <autoFilter ref="A1:Y122">
    <sortState ref="A2:Y178">
      <sortCondition ref="C1:C122"/>
    </sortState>
  </autoFilter>
  <conditionalFormatting sqref="A2:Y122">
    <cfRule type="expression" dxfId="43" priority="9">
      <formula>MOD(ROW(),2)=1</formula>
    </cfRule>
  </conditionalFormatting>
  <conditionalFormatting sqref="A161:Y161 A123:Y132 A134:Y134 A133:S133 V133:Y133 A136:Y147 A135:S135 V135:Y135 A152:Y159 A148:S151 V148:Y151 A167:Y170 A162:S166 V162:Y166 A173:Y173 A171:S172 V171:Y172 A175:Y178 A174:S174 V174:Y174">
    <cfRule type="expression" dxfId="42" priority="8">
      <formula>MOD(ROW(),2)=1</formula>
    </cfRule>
  </conditionalFormatting>
  <conditionalFormatting sqref="A160:Y160">
    <cfRule type="expression" dxfId="41" priority="7">
      <formula>MOD(ROW(),2)=1</formula>
    </cfRule>
  </conditionalFormatting>
  <conditionalFormatting sqref="T133:U133">
    <cfRule type="expression" dxfId="25" priority="6">
      <formula>MOD(ROW(),2)=1</formula>
    </cfRule>
  </conditionalFormatting>
  <conditionalFormatting sqref="T135:U135">
    <cfRule type="expression" dxfId="23" priority="5">
      <formula>MOD(ROW(),2)=1</formula>
    </cfRule>
  </conditionalFormatting>
  <conditionalFormatting sqref="T148:U151">
    <cfRule type="expression" dxfId="21" priority="4">
      <formula>MOD(ROW(),2)=1</formula>
    </cfRule>
  </conditionalFormatting>
  <conditionalFormatting sqref="T162:U166">
    <cfRule type="expression" dxfId="19" priority="3">
      <formula>MOD(ROW(),2)=1</formula>
    </cfRule>
  </conditionalFormatting>
  <conditionalFormatting sqref="T171:U172">
    <cfRule type="expression" dxfId="17" priority="2">
      <formula>MOD(ROW(),2)=1</formula>
    </cfRule>
  </conditionalFormatting>
  <conditionalFormatting sqref="T174:U174">
    <cfRule type="expression" dxfId="15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P100"/>
  <sheetViews>
    <sheetView zoomScale="70" zoomScaleNormal="70" workbookViewId="0">
      <selection activeCell="K111" sqref="K111"/>
    </sheetView>
  </sheetViews>
  <sheetFormatPr defaultRowHeight="15"/>
  <cols>
    <col min="1" max="1" width="4.42578125" customWidth="1"/>
    <col min="2" max="2" width="4.7109375" customWidth="1"/>
    <col min="3" max="3" width="23.42578125" customWidth="1"/>
    <col min="4" max="4" width="31.42578125" customWidth="1"/>
    <col min="5" max="5" width="18.140625" customWidth="1"/>
    <col min="6" max="6" width="10.28515625" customWidth="1"/>
    <col min="7" max="7" width="15" customWidth="1"/>
    <col min="8" max="8" width="4.5703125" customWidth="1"/>
    <col min="9" max="9" width="5" customWidth="1"/>
    <col min="10" max="10" width="4.5703125" customWidth="1"/>
    <col min="11" max="11" width="47.85546875" bestFit="1" customWidth="1"/>
    <col min="12" max="12" width="21.7109375" bestFit="1" customWidth="1"/>
    <col min="13" max="13" width="31.42578125" bestFit="1" customWidth="1"/>
    <col min="14" max="14" width="8.140625" bestFit="1" customWidth="1"/>
    <col min="15" max="15" width="15" bestFit="1" customWidth="1"/>
    <col min="16" max="16" width="5.42578125" customWidth="1"/>
    <col min="17" max="17" width="12.140625" customWidth="1"/>
    <col min="18" max="18" width="10.5703125" customWidth="1"/>
    <col min="19" max="19" width="11" customWidth="1"/>
    <col min="20" max="20" width="9.140625" customWidth="1"/>
    <col min="21" max="21" width="15.28515625" customWidth="1"/>
    <col min="22" max="22" width="12.140625" customWidth="1"/>
    <col min="23" max="23" width="10.5703125" customWidth="1"/>
    <col min="24" max="24" width="10.7109375" customWidth="1"/>
    <col min="25" max="25" width="13.85546875" customWidth="1"/>
    <col min="26" max="26" width="12.140625" customWidth="1"/>
    <col min="27" max="27" width="11.28515625" customWidth="1"/>
    <col min="28" max="28" width="9.42578125" customWidth="1"/>
    <col min="29" max="29" width="10" customWidth="1"/>
    <col min="30" max="30" width="5.28515625" customWidth="1"/>
    <col min="31" max="31" width="7" customWidth="1"/>
    <col min="32" max="32" width="8.42578125" customWidth="1"/>
    <col min="33" max="33" width="7.85546875" customWidth="1"/>
    <col min="34" max="34" width="5.7109375" customWidth="1"/>
    <col min="35" max="35" width="13.42578125" bestFit="1" customWidth="1"/>
    <col min="36" max="36" width="11.42578125" customWidth="1"/>
    <col min="37" max="37" width="8.140625" customWidth="1"/>
    <col min="38" max="38" width="5.85546875" customWidth="1"/>
    <col min="39" max="39" width="13.85546875" customWidth="1"/>
    <col min="40" max="40" width="11.140625" customWidth="1"/>
    <col min="41" max="41" width="5.85546875" customWidth="1"/>
    <col min="42" max="42" width="7.42578125" customWidth="1"/>
    <col min="43" max="43" width="4.7109375" customWidth="1"/>
    <col min="44" max="44" width="11.28515625" customWidth="1"/>
    <col min="45" max="45" width="8.42578125" customWidth="1"/>
    <col min="46" max="46" width="7.85546875" customWidth="1"/>
    <col min="47" max="47" width="8.140625" customWidth="1"/>
    <col min="48" max="48" width="13.85546875" customWidth="1"/>
    <col min="49" max="49" width="18.85546875" bestFit="1" customWidth="1"/>
    <col min="50" max="50" width="11.28515625" bestFit="1" customWidth="1"/>
  </cols>
  <sheetData>
    <row r="2" spans="2:16">
      <c r="B2" s="145"/>
      <c r="C2" s="121"/>
      <c r="D2" s="121"/>
      <c r="E2" s="121"/>
      <c r="F2" s="121"/>
      <c r="G2" s="121"/>
      <c r="H2" s="122"/>
      <c r="J2" s="145"/>
      <c r="K2" s="121"/>
      <c r="L2" s="121"/>
      <c r="M2" s="121"/>
      <c r="N2" s="121"/>
      <c r="O2" s="121"/>
      <c r="P2" s="122"/>
    </row>
    <row r="3" spans="2:16">
      <c r="B3" s="81"/>
      <c r="C3" s="149" t="s">
        <v>1239</v>
      </c>
      <c r="D3" s="4"/>
      <c r="E3" s="4"/>
      <c r="F3" s="4"/>
      <c r="G3" s="4"/>
      <c r="H3" s="82"/>
      <c r="J3" s="81"/>
      <c r="K3" s="149" t="s">
        <v>1238</v>
      </c>
      <c r="L3" s="4"/>
      <c r="M3" s="4"/>
      <c r="N3" s="4"/>
      <c r="O3" s="4"/>
      <c r="P3" s="82"/>
    </row>
    <row r="4" spans="2:16">
      <c r="B4" s="81"/>
      <c r="C4" s="4"/>
      <c r="D4" s="4"/>
      <c r="E4" s="4"/>
      <c r="F4" s="4"/>
      <c r="G4" s="4"/>
      <c r="H4" s="82"/>
      <c r="J4" s="81"/>
      <c r="K4" s="138"/>
      <c r="L4" s="4"/>
      <c r="M4" s="4"/>
      <c r="N4" s="4"/>
      <c r="O4" s="4"/>
      <c r="P4" s="82"/>
    </row>
    <row r="5" spans="2:16">
      <c r="B5" s="81"/>
      <c r="C5" s="104" t="s">
        <v>1117</v>
      </c>
      <c r="D5" s="4" t="s">
        <v>1219</v>
      </c>
      <c r="E5" s="4"/>
      <c r="F5" s="4"/>
      <c r="G5" s="4"/>
      <c r="H5" s="82"/>
      <c r="J5" s="81"/>
      <c r="K5" s="104" t="s">
        <v>1117</v>
      </c>
      <c r="L5" s="4" t="s">
        <v>1219</v>
      </c>
      <c r="M5" s="4"/>
      <c r="N5" s="4"/>
      <c r="O5" s="4"/>
      <c r="P5" s="82"/>
    </row>
    <row r="6" spans="2:16">
      <c r="B6" s="81"/>
      <c r="C6" s="4"/>
      <c r="D6" s="4"/>
      <c r="E6" s="4"/>
      <c r="F6" s="4"/>
      <c r="G6" s="4"/>
      <c r="H6" s="82"/>
      <c r="J6" s="81"/>
      <c r="K6" s="4"/>
      <c r="L6" s="4"/>
      <c r="M6" s="4"/>
      <c r="N6" s="4"/>
      <c r="O6" s="4"/>
      <c r="P6" s="82"/>
    </row>
    <row r="7" spans="2:16">
      <c r="B7" s="81"/>
      <c r="C7" s="104" t="s">
        <v>1130</v>
      </c>
      <c r="D7" s="104" t="s">
        <v>1036</v>
      </c>
      <c r="E7" s="4"/>
      <c r="F7" s="4"/>
      <c r="G7" s="4"/>
      <c r="H7" s="82"/>
      <c r="J7" s="81"/>
      <c r="K7" s="104" t="s">
        <v>1130</v>
      </c>
      <c r="L7" s="104" t="s">
        <v>1036</v>
      </c>
      <c r="M7" s="4"/>
      <c r="N7" s="4"/>
      <c r="O7" s="4"/>
      <c r="P7" s="82"/>
    </row>
    <row r="8" spans="2:16">
      <c r="B8" s="81"/>
      <c r="C8" s="104" t="s">
        <v>1037</v>
      </c>
      <c r="D8" s="4" t="s">
        <v>1099</v>
      </c>
      <c r="E8" s="4" t="s">
        <v>1078</v>
      </c>
      <c r="F8" s="4" t="s">
        <v>1096</v>
      </c>
      <c r="G8" s="4" t="s">
        <v>1038</v>
      </c>
      <c r="H8" s="82"/>
      <c r="J8" s="81"/>
      <c r="K8" s="104" t="s">
        <v>1037</v>
      </c>
      <c r="L8" s="4" t="s">
        <v>1099</v>
      </c>
      <c r="M8" s="4" t="s">
        <v>1078</v>
      </c>
      <c r="N8" s="4" t="s">
        <v>1096</v>
      </c>
      <c r="O8" s="4" t="s">
        <v>1038</v>
      </c>
      <c r="P8" s="82"/>
    </row>
    <row r="9" spans="2:16">
      <c r="B9" s="81"/>
      <c r="C9" s="31" t="s">
        <v>11</v>
      </c>
      <c r="D9" s="7">
        <v>3610</v>
      </c>
      <c r="E9" s="7"/>
      <c r="F9" s="7"/>
      <c r="G9" s="7">
        <v>3610</v>
      </c>
      <c r="H9" s="107"/>
      <c r="I9" s="6"/>
      <c r="J9" s="81"/>
      <c r="K9" s="31" t="s">
        <v>1074</v>
      </c>
      <c r="L9" s="7">
        <v>432</v>
      </c>
      <c r="M9" s="7">
        <v>19994</v>
      </c>
      <c r="N9" s="7">
        <v>10</v>
      </c>
      <c r="O9" s="7">
        <v>20436</v>
      </c>
      <c r="P9" s="82"/>
    </row>
    <row r="10" spans="2:16">
      <c r="B10" s="81"/>
      <c r="C10" s="103" t="s">
        <v>26</v>
      </c>
      <c r="D10" s="7">
        <v>57</v>
      </c>
      <c r="E10" s="7"/>
      <c r="F10" s="7"/>
      <c r="G10" s="7">
        <v>57</v>
      </c>
      <c r="H10" s="107"/>
      <c r="I10" s="6"/>
      <c r="J10" s="81"/>
      <c r="K10" s="31" t="s">
        <v>1073</v>
      </c>
      <c r="L10" s="7">
        <v>62382</v>
      </c>
      <c r="M10" s="7">
        <v>3259</v>
      </c>
      <c r="N10" s="7">
        <v>4</v>
      </c>
      <c r="O10" s="7">
        <v>65645</v>
      </c>
      <c r="P10" s="82"/>
    </row>
    <row r="11" spans="2:16">
      <c r="B11" s="81"/>
      <c r="C11" s="103" t="s">
        <v>30</v>
      </c>
      <c r="D11" s="7">
        <v>117</v>
      </c>
      <c r="E11" s="7"/>
      <c r="F11" s="7"/>
      <c r="G11" s="7">
        <v>117</v>
      </c>
      <c r="H11" s="107"/>
      <c r="I11" s="6"/>
      <c r="J11" s="81"/>
      <c r="K11" s="31" t="s">
        <v>1072</v>
      </c>
      <c r="L11" s="7">
        <v>47399</v>
      </c>
      <c r="M11" s="7">
        <v>1270</v>
      </c>
      <c r="N11" s="7"/>
      <c r="O11" s="7">
        <v>48669</v>
      </c>
      <c r="P11" s="82"/>
    </row>
    <row r="12" spans="2:16">
      <c r="B12" s="81"/>
      <c r="C12" s="103" t="s">
        <v>34</v>
      </c>
      <c r="D12" s="7">
        <v>270</v>
      </c>
      <c r="E12" s="7"/>
      <c r="F12" s="7"/>
      <c r="G12" s="7">
        <v>270</v>
      </c>
      <c r="H12" s="107"/>
      <c r="I12" s="6"/>
      <c r="J12" s="81"/>
      <c r="K12" s="31" t="s">
        <v>1076</v>
      </c>
      <c r="L12" s="7">
        <v>32397</v>
      </c>
      <c r="M12" s="7">
        <v>8733</v>
      </c>
      <c r="N12" s="7"/>
      <c r="O12" s="7">
        <v>41130</v>
      </c>
      <c r="P12" s="82"/>
    </row>
    <row r="13" spans="2:16">
      <c r="B13" s="81"/>
      <c r="C13" s="103" t="s">
        <v>24</v>
      </c>
      <c r="D13" s="7">
        <v>365</v>
      </c>
      <c r="E13" s="7"/>
      <c r="F13" s="7"/>
      <c r="G13" s="7">
        <v>365</v>
      </c>
      <c r="H13" s="107"/>
      <c r="I13" s="6"/>
      <c r="J13" s="81"/>
      <c r="K13" s="31" t="s">
        <v>1075</v>
      </c>
      <c r="L13" s="7">
        <v>14434</v>
      </c>
      <c r="M13" s="7"/>
      <c r="N13" s="7"/>
      <c r="O13" s="7">
        <v>14434</v>
      </c>
      <c r="P13" s="82"/>
    </row>
    <row r="14" spans="2:16">
      <c r="B14" s="81"/>
      <c r="C14" s="103" t="s">
        <v>23</v>
      </c>
      <c r="D14" s="7">
        <v>105</v>
      </c>
      <c r="E14" s="7"/>
      <c r="F14" s="7"/>
      <c r="G14" s="7">
        <v>105</v>
      </c>
      <c r="H14" s="107"/>
      <c r="I14" s="6"/>
      <c r="J14" s="81"/>
      <c r="K14" s="31" t="s">
        <v>1077</v>
      </c>
      <c r="L14" s="7">
        <v>8528</v>
      </c>
      <c r="M14" s="7"/>
      <c r="N14" s="7"/>
      <c r="O14" s="7">
        <v>8528</v>
      </c>
      <c r="P14" s="82"/>
    </row>
    <row r="15" spans="2:16">
      <c r="B15" s="81"/>
      <c r="C15" s="103" t="s">
        <v>133</v>
      </c>
      <c r="D15" s="7">
        <v>2696</v>
      </c>
      <c r="E15" s="7"/>
      <c r="F15" s="7"/>
      <c r="G15" s="7">
        <v>2696</v>
      </c>
      <c r="H15" s="107"/>
      <c r="I15" s="6"/>
      <c r="J15" s="81"/>
      <c r="K15" s="31" t="s">
        <v>1038</v>
      </c>
      <c r="L15" s="7">
        <v>165572</v>
      </c>
      <c r="M15" s="7">
        <v>33256</v>
      </c>
      <c r="N15" s="7">
        <v>14</v>
      </c>
      <c r="O15" s="7">
        <v>198842</v>
      </c>
      <c r="P15" s="82"/>
    </row>
    <row r="16" spans="2:16">
      <c r="B16" s="81"/>
      <c r="C16" s="31" t="s">
        <v>7</v>
      </c>
      <c r="D16" s="7">
        <v>102983</v>
      </c>
      <c r="E16" s="7">
        <v>14162</v>
      </c>
      <c r="F16" s="7"/>
      <c r="G16" s="7">
        <v>117145</v>
      </c>
      <c r="H16" s="107"/>
      <c r="I16" s="6"/>
      <c r="J16" s="81"/>
      <c r="K16" s="4"/>
      <c r="L16" s="4"/>
      <c r="M16" s="4"/>
      <c r="N16" s="4"/>
      <c r="O16" s="4"/>
      <c r="P16" s="82"/>
    </row>
    <row r="17" spans="2:16">
      <c r="B17" s="81"/>
      <c r="C17" s="103" t="s">
        <v>18</v>
      </c>
      <c r="D17" s="7">
        <v>5105</v>
      </c>
      <c r="E17" s="7">
        <v>1783</v>
      </c>
      <c r="F17" s="7"/>
      <c r="G17" s="7">
        <v>6888</v>
      </c>
      <c r="H17" s="107"/>
      <c r="I17" s="6"/>
      <c r="J17" s="81"/>
      <c r="K17" s="149" t="s">
        <v>1235</v>
      </c>
      <c r="L17" s="4"/>
      <c r="M17" s="4"/>
      <c r="N17" s="4"/>
      <c r="O17" s="4"/>
      <c r="P17" s="82"/>
    </row>
    <row r="18" spans="2:16">
      <c r="B18" s="81"/>
      <c r="C18" s="103" t="s">
        <v>15</v>
      </c>
      <c r="D18" s="7">
        <v>6980</v>
      </c>
      <c r="E18" s="7">
        <v>3140</v>
      </c>
      <c r="F18" s="7"/>
      <c r="G18" s="7">
        <v>10120</v>
      </c>
      <c r="H18" s="107"/>
      <c r="I18" s="6"/>
      <c r="J18" s="81"/>
      <c r="K18" s="4"/>
      <c r="L18" s="4"/>
      <c r="M18" s="4"/>
      <c r="N18" s="4"/>
      <c r="O18" s="4"/>
      <c r="P18" s="82"/>
    </row>
    <row r="19" spans="2:16">
      <c r="B19" s="81"/>
      <c r="C19" s="103" t="s">
        <v>21</v>
      </c>
      <c r="D19" s="7">
        <v>16350</v>
      </c>
      <c r="E19" s="7"/>
      <c r="F19" s="7"/>
      <c r="G19" s="7">
        <v>16350</v>
      </c>
      <c r="H19" s="107"/>
      <c r="I19" s="6"/>
      <c r="J19" s="81"/>
      <c r="K19" s="146" t="s">
        <v>1131</v>
      </c>
      <c r="L19" s="146" t="s">
        <v>1078</v>
      </c>
      <c r="M19" s="146" t="s">
        <v>1099</v>
      </c>
      <c r="N19" s="146" t="s">
        <v>1096</v>
      </c>
      <c r="O19" s="4"/>
      <c r="P19" s="82"/>
    </row>
    <row r="20" spans="2:16">
      <c r="B20" s="81"/>
      <c r="C20" s="103" t="s">
        <v>19</v>
      </c>
      <c r="D20" s="7">
        <v>2229</v>
      </c>
      <c r="E20" s="7"/>
      <c r="F20" s="7"/>
      <c r="G20" s="7">
        <v>2229</v>
      </c>
      <c r="H20" s="107"/>
      <c r="I20" s="6"/>
      <c r="J20" s="81"/>
      <c r="K20" s="31" t="s">
        <v>1052</v>
      </c>
      <c r="L20" s="17">
        <f>GETPIVOTDATA("Ind.",$K$7,"Period","Before_2014","Displacement Reason","Floods_Natural_Disasters")/GETPIVOTDATA("Ind.",$K$7)</f>
        <v>0.10055219722191489</v>
      </c>
      <c r="M20" s="17">
        <f>GETPIVOTDATA("Ind.",$K$7,"Period","Before_2014","Displacement Reason","Conflict_ISWA")/GETPIVOTDATA("Ind.",$K$7)</f>
        <v>2.1725792337634908E-3</v>
      </c>
      <c r="N20" s="17">
        <f>GETPIVOTDATA("Ind.",$K$7,"Period","Before_2014","Displacement Reason","Other")/GETPIVOTDATA("Ind.",$K$7)</f>
        <v>5.0291185966747471E-5</v>
      </c>
      <c r="O20" s="4"/>
      <c r="P20" s="82"/>
    </row>
    <row r="21" spans="2:16">
      <c r="B21" s="81"/>
      <c r="C21" s="103" t="s">
        <v>135</v>
      </c>
      <c r="D21" s="7">
        <v>6920</v>
      </c>
      <c r="E21" s="7"/>
      <c r="F21" s="7"/>
      <c r="G21" s="7">
        <v>6920</v>
      </c>
      <c r="H21" s="107"/>
      <c r="I21" s="6"/>
      <c r="J21" s="81"/>
      <c r="K21" s="31" t="s">
        <v>1230</v>
      </c>
      <c r="L21" s="17">
        <f>GETPIVOTDATA("Ind.",$K$7,"Period","In_2014","Displacement Reason","Floods_Natural_Disasters")/GETPIVOTDATA("Ind.",$K$7)</f>
        <v>1.6389897506563E-2</v>
      </c>
      <c r="M21" s="17">
        <f>GETPIVOTDATA("Ind.",$K$7,"Period","In_2014","Displacement Reason","Conflict_ISWA")/GETPIVOTDATA("Ind.",$K$7)</f>
        <v>0.31372647629776407</v>
      </c>
      <c r="N21" s="17">
        <f>GETPIVOTDATA("Ind.",$K$7,"Period","In_2014","Displacement Reason","Other")/GETPIVOTDATA("Ind.",$K$7)</f>
        <v>2.0116474386698986E-5</v>
      </c>
      <c r="O21" s="4"/>
      <c r="P21" s="82"/>
    </row>
    <row r="22" spans="2:16">
      <c r="B22" s="81"/>
      <c r="C22" s="103" t="s">
        <v>134</v>
      </c>
      <c r="D22" s="7">
        <v>18885</v>
      </c>
      <c r="E22" s="7"/>
      <c r="F22" s="7"/>
      <c r="G22" s="7">
        <v>18885</v>
      </c>
      <c r="H22" s="107"/>
      <c r="I22" s="6"/>
      <c r="J22" s="81"/>
      <c r="K22" s="31" t="s">
        <v>1231</v>
      </c>
      <c r="L22" s="17">
        <f>GETPIVOTDATA("Ind.",$K$7,"Period","January_August_2015","Displacement Reason","Floods_Natural_Disasters")/GETPIVOTDATA("Ind.",$K$7)</f>
        <v>6.3869806177769281E-3</v>
      </c>
      <c r="M22" s="17">
        <f>GETPIVOTDATA("Ind.",$K$7,"Period","January_August_2015","Displacement Reason","Conflict_ISWA")/GETPIVOTDATA("Ind.",$K$7)</f>
        <v>0.23837519236378632</v>
      </c>
      <c r="N22" s="17">
        <f>GETPIVOTDATA("Ind.",$K$7,"Period","January_August_2015","Displacement Reason","Other")/GETPIVOTDATA("Ind.",$K$7)</f>
        <v>0</v>
      </c>
      <c r="O22" s="4"/>
      <c r="P22" s="82"/>
    </row>
    <row r="23" spans="2:16">
      <c r="B23" s="81"/>
      <c r="C23" s="103" t="s">
        <v>32</v>
      </c>
      <c r="D23" s="7">
        <v>6269</v>
      </c>
      <c r="E23" s="7">
        <v>664</v>
      </c>
      <c r="F23" s="7"/>
      <c r="G23" s="7">
        <v>6933</v>
      </c>
      <c r="H23" s="107"/>
      <c r="I23" s="6"/>
      <c r="J23" s="81"/>
      <c r="K23" s="31" t="s">
        <v>1232</v>
      </c>
      <c r="L23" s="17">
        <f>GETPIVOTDATA("Ind.",$K$7,"Period","September_November_2015","Displacement Reason","Floods_Natural_Disasters")/GETPIVOTDATA("Ind.",$K$7)</f>
        <v>4.3919292704760561E-2</v>
      </c>
      <c r="M23" s="17">
        <f>GETPIVOTDATA("Ind.",$K$7,"Period","September_November_2015","Displacement Reason","Conflict_ISWA")/GETPIVOTDATA("Ind.",$K$7)</f>
        <v>0.16292835517647178</v>
      </c>
      <c r="N23" s="17">
        <f>GETPIVOTDATA("Ind.",$K$7,"Period","September_November_2015","Displacement Reason","Other")/GETPIVOTDATA("Ind.",$K$7)</f>
        <v>0</v>
      </c>
      <c r="O23" s="4"/>
      <c r="P23" s="82"/>
    </row>
    <row r="24" spans="2:16">
      <c r="B24" s="81"/>
      <c r="C24" s="103" t="s">
        <v>8</v>
      </c>
      <c r="D24" s="7">
        <v>36700</v>
      </c>
      <c r="E24" s="7"/>
      <c r="F24" s="7"/>
      <c r="G24" s="7">
        <v>36700</v>
      </c>
      <c r="H24" s="107"/>
      <c r="I24" s="6"/>
      <c r="J24" s="81"/>
      <c r="K24" s="31" t="s">
        <v>1233</v>
      </c>
      <c r="L24" s="17">
        <f>GETPIVOTDATA("Ind.",$K$7,"Period","December_2015_February_2016","Displacement Reason","Floods_Natural_Disasters")/GETPIVOTDATA("Ind.",$K$7)</f>
        <v>0</v>
      </c>
      <c r="M24" s="17">
        <f>GETPIVOTDATA("Ind.",$K$7,"Period","December_2015_February_2016","Displacement Reason","Conflict_ISWA")/GETPIVOTDATA("Ind.",$K$7)</f>
        <v>7.2590297824403294E-2</v>
      </c>
      <c r="N24" s="17">
        <f>GETPIVOTDATA("Ind.",$K$7,"Period","December_2015_February_2016","Displacement Reason","Other")/GETPIVOTDATA("Ind.",$K$7)</f>
        <v>0</v>
      </c>
      <c r="O24" s="4"/>
      <c r="P24" s="82"/>
    </row>
    <row r="25" spans="2:16">
      <c r="B25" s="81"/>
      <c r="C25" s="103" t="s">
        <v>25</v>
      </c>
      <c r="D25" s="7">
        <v>3545</v>
      </c>
      <c r="E25" s="7"/>
      <c r="F25" s="7"/>
      <c r="G25" s="7">
        <v>3545</v>
      </c>
      <c r="H25" s="107"/>
      <c r="I25" s="6"/>
      <c r="J25" s="81"/>
      <c r="K25" s="31" t="s">
        <v>1234</v>
      </c>
      <c r="L25" s="17">
        <f>GETPIVOTDATA("Ind.",$K$7,"Period","March_April_2016","Displacement Reason","Floods_Natural_Disasters")/GETPIVOTDATA("Ind.",$K$7)</f>
        <v>0</v>
      </c>
      <c r="M25" s="17">
        <f>GETPIVOTDATA("Ind.",$K$7,"Period","March_April_2016","Displacement Reason","Conflict_ISWA")/GETPIVOTDATA("Ind.",$K$7)</f>
        <v>4.2888323392442237E-2</v>
      </c>
      <c r="N25" s="17">
        <f>GETPIVOTDATA("Ind.",$K$7,"Period","March_April_2016","Displacement Reason","Other")/GETPIVOTDATA("Ind.",$K$7)</f>
        <v>0</v>
      </c>
      <c r="O25" s="4"/>
      <c r="P25" s="82"/>
    </row>
    <row r="26" spans="2:16">
      <c r="B26" s="81"/>
      <c r="C26" s="103" t="s">
        <v>9</v>
      </c>
      <c r="D26" s="7"/>
      <c r="E26" s="7">
        <v>8575</v>
      </c>
      <c r="F26" s="7"/>
      <c r="G26" s="7">
        <v>8575</v>
      </c>
      <c r="H26" s="107"/>
      <c r="I26" s="6"/>
      <c r="J26" s="81"/>
      <c r="K26" s="147" t="s">
        <v>1038</v>
      </c>
      <c r="L26" s="148">
        <f>GETPIVOTDATA("Ind.",$K$7,"Displacement Reason","Floods_Natural_Disasters")/GETPIVOTDATA("Ind.",$K$7)</f>
        <v>0.16724836805101537</v>
      </c>
      <c r="M26" s="148">
        <f>GETPIVOTDATA("Ind.",$K$7,"Displacement Reason","Conflict_ISWA")/GETPIVOTDATA("Ind.",$K$7)</f>
        <v>0.83268122428863123</v>
      </c>
      <c r="N26" s="148">
        <f>GETPIVOTDATA("Ind.",$K$7,"Displacement Reason","Other")/GETPIVOTDATA("Ind.",$K$7)</f>
        <v>7.040766035344645E-5</v>
      </c>
      <c r="O26" s="4"/>
      <c r="P26" s="82"/>
    </row>
    <row r="27" spans="2:16">
      <c r="B27" s="81"/>
      <c r="C27" s="31" t="s">
        <v>10</v>
      </c>
      <c r="D27" s="7">
        <v>1225</v>
      </c>
      <c r="E27" s="7">
        <v>19049</v>
      </c>
      <c r="F27" s="7">
        <v>4</v>
      </c>
      <c r="G27" s="7">
        <v>20278</v>
      </c>
      <c r="H27" s="107"/>
      <c r="I27" s="6"/>
      <c r="J27" s="81"/>
      <c r="K27" s="4"/>
      <c r="L27" s="4"/>
      <c r="M27" s="4"/>
      <c r="N27" s="4"/>
      <c r="O27" s="4"/>
      <c r="P27" s="82"/>
    </row>
    <row r="28" spans="2:16">
      <c r="B28" s="81"/>
      <c r="C28" s="103" t="s">
        <v>20</v>
      </c>
      <c r="D28" s="7">
        <v>235</v>
      </c>
      <c r="E28" s="7">
        <v>1252</v>
      </c>
      <c r="F28" s="7"/>
      <c r="G28" s="7">
        <v>1487</v>
      </c>
      <c r="H28" s="107"/>
      <c r="I28" s="6"/>
      <c r="J28" s="81"/>
      <c r="K28" s="4"/>
      <c r="L28" s="4"/>
      <c r="M28" s="4"/>
      <c r="N28" s="4"/>
      <c r="O28" s="4"/>
      <c r="P28" s="82"/>
    </row>
    <row r="29" spans="2:16">
      <c r="B29" s="81"/>
      <c r="C29" s="103" t="s">
        <v>136</v>
      </c>
      <c r="D29" s="7">
        <v>10</v>
      </c>
      <c r="E29" s="7">
        <v>1445</v>
      </c>
      <c r="F29" s="7"/>
      <c r="G29" s="7">
        <v>1455</v>
      </c>
      <c r="H29" s="107"/>
      <c r="I29" s="6"/>
      <c r="J29" s="81"/>
      <c r="K29" s="4"/>
      <c r="L29" s="4"/>
      <c r="M29" s="4"/>
      <c r="N29" s="4"/>
      <c r="O29" s="4"/>
      <c r="P29" s="82"/>
    </row>
    <row r="30" spans="2:16">
      <c r="B30" s="81"/>
      <c r="C30" s="103" t="s">
        <v>137</v>
      </c>
      <c r="D30" s="7"/>
      <c r="E30" s="7">
        <v>1795</v>
      </c>
      <c r="F30" s="7"/>
      <c r="G30" s="7">
        <v>1795</v>
      </c>
      <c r="H30" s="107"/>
      <c r="I30" s="6"/>
      <c r="J30" s="81"/>
      <c r="K30" s="4"/>
      <c r="L30" s="4"/>
      <c r="M30" s="4"/>
      <c r="N30" s="4"/>
      <c r="O30" s="4"/>
      <c r="P30" s="82"/>
    </row>
    <row r="31" spans="2:16">
      <c r="B31" s="81"/>
      <c r="C31" s="103" t="s">
        <v>31</v>
      </c>
      <c r="D31" s="7"/>
      <c r="E31" s="7">
        <v>11613</v>
      </c>
      <c r="F31" s="7"/>
      <c r="G31" s="7">
        <v>11613</v>
      </c>
      <c r="H31" s="107"/>
      <c r="I31" s="6"/>
      <c r="J31" s="81"/>
      <c r="K31" s="4"/>
      <c r="L31" s="4"/>
      <c r="M31" s="4"/>
      <c r="N31" s="4"/>
      <c r="O31" s="4"/>
      <c r="P31" s="82"/>
    </row>
    <row r="32" spans="2:16">
      <c r="B32" s="81"/>
      <c r="C32" s="103" t="s">
        <v>17</v>
      </c>
      <c r="D32" s="7">
        <v>980</v>
      </c>
      <c r="E32" s="7">
        <v>2585</v>
      </c>
      <c r="F32" s="7"/>
      <c r="G32" s="7">
        <v>3565</v>
      </c>
      <c r="H32" s="107"/>
      <c r="I32" s="6"/>
      <c r="J32" s="81"/>
      <c r="K32" s="4"/>
      <c r="L32" s="4"/>
      <c r="M32" s="4"/>
      <c r="N32" s="4"/>
      <c r="O32" s="4"/>
      <c r="P32" s="82"/>
    </row>
    <row r="33" spans="2:16">
      <c r="B33" s="81"/>
      <c r="C33" s="103" t="s">
        <v>29</v>
      </c>
      <c r="D33" s="7"/>
      <c r="E33" s="7">
        <v>359</v>
      </c>
      <c r="F33" s="7">
        <v>4</v>
      </c>
      <c r="G33" s="7">
        <v>363</v>
      </c>
      <c r="H33" s="107"/>
      <c r="I33" s="6"/>
      <c r="J33" s="81"/>
      <c r="K33" s="4"/>
      <c r="L33" s="4"/>
      <c r="M33" s="4"/>
      <c r="N33" s="4"/>
      <c r="O33" s="4"/>
      <c r="P33" s="82"/>
    </row>
    <row r="34" spans="2:16">
      <c r="B34" s="81"/>
      <c r="C34" s="31" t="s">
        <v>4</v>
      </c>
      <c r="D34" s="7">
        <v>215</v>
      </c>
      <c r="E34" s="7">
        <v>45</v>
      </c>
      <c r="F34" s="7">
        <v>10</v>
      </c>
      <c r="G34" s="7">
        <v>270</v>
      </c>
      <c r="H34" s="107"/>
      <c r="I34" s="6"/>
      <c r="J34" s="81"/>
      <c r="K34" s="4"/>
      <c r="L34" s="4"/>
      <c r="M34" s="4"/>
      <c r="N34" s="4"/>
      <c r="O34" s="4"/>
      <c r="P34" s="82"/>
    </row>
    <row r="35" spans="2:16">
      <c r="B35" s="81"/>
      <c r="C35" s="103" t="s">
        <v>138</v>
      </c>
      <c r="D35" s="7">
        <v>31</v>
      </c>
      <c r="E35" s="7"/>
      <c r="F35" s="7"/>
      <c r="G35" s="7">
        <v>31</v>
      </c>
      <c r="H35" s="107"/>
      <c r="I35" s="6"/>
      <c r="J35" s="81"/>
      <c r="K35" s="4"/>
      <c r="L35" s="4"/>
      <c r="M35" s="4"/>
      <c r="N35" s="4"/>
      <c r="O35" s="4"/>
      <c r="P35" s="82"/>
    </row>
    <row r="36" spans="2:16">
      <c r="B36" s="81"/>
      <c r="C36" s="103" t="s">
        <v>22</v>
      </c>
      <c r="D36" s="7"/>
      <c r="E36" s="7">
        <v>45</v>
      </c>
      <c r="F36" s="7"/>
      <c r="G36" s="7">
        <v>45</v>
      </c>
      <c r="H36" s="107"/>
      <c r="I36" s="6"/>
      <c r="J36" s="81"/>
      <c r="K36" s="4"/>
      <c r="L36" s="4"/>
      <c r="M36" s="4"/>
      <c r="N36" s="4"/>
      <c r="O36" s="4"/>
      <c r="P36" s="82"/>
    </row>
    <row r="37" spans="2:16">
      <c r="B37" s="81"/>
      <c r="C37" s="103" t="s">
        <v>5</v>
      </c>
      <c r="D37" s="7"/>
      <c r="E37" s="7"/>
      <c r="F37" s="7">
        <v>10</v>
      </c>
      <c r="G37" s="7">
        <v>10</v>
      </c>
      <c r="H37" s="107"/>
      <c r="I37" s="6"/>
      <c r="J37" s="81"/>
      <c r="K37" s="4"/>
      <c r="L37" s="4"/>
      <c r="M37" s="4"/>
      <c r="N37" s="4"/>
      <c r="O37" s="4"/>
      <c r="P37" s="82"/>
    </row>
    <row r="38" spans="2:16">
      <c r="B38" s="81"/>
      <c r="C38" s="103" t="s">
        <v>38</v>
      </c>
      <c r="D38" s="7">
        <v>184</v>
      </c>
      <c r="E38" s="7"/>
      <c r="F38" s="7"/>
      <c r="G38" s="7">
        <v>184</v>
      </c>
      <c r="H38" s="107"/>
      <c r="I38" s="6"/>
      <c r="J38" s="81"/>
      <c r="K38" s="4"/>
      <c r="L38" s="4"/>
      <c r="M38" s="4"/>
      <c r="N38" s="4"/>
      <c r="O38" s="4"/>
      <c r="P38" s="82"/>
    </row>
    <row r="39" spans="2:16">
      <c r="B39" s="81"/>
      <c r="C39" s="31" t="s">
        <v>27</v>
      </c>
      <c r="D39" s="7">
        <v>34328</v>
      </c>
      <c r="E39" s="7"/>
      <c r="F39" s="7"/>
      <c r="G39" s="7">
        <v>34328</v>
      </c>
      <c r="H39" s="107"/>
      <c r="I39" s="6"/>
      <c r="J39" s="81"/>
      <c r="K39" s="4"/>
      <c r="L39" s="4"/>
      <c r="M39" s="4"/>
      <c r="N39" s="4"/>
      <c r="O39" s="4"/>
      <c r="P39" s="82"/>
    </row>
    <row r="40" spans="2:16">
      <c r="B40" s="81"/>
      <c r="C40" s="103" t="s">
        <v>33</v>
      </c>
      <c r="D40" s="7">
        <v>6915</v>
      </c>
      <c r="E40" s="7"/>
      <c r="F40" s="7"/>
      <c r="G40" s="7">
        <v>6915</v>
      </c>
      <c r="H40" s="107"/>
      <c r="I40" s="6"/>
      <c r="J40" s="81"/>
      <c r="K40" s="4"/>
      <c r="L40" s="4"/>
      <c r="M40" s="4"/>
      <c r="N40" s="4"/>
      <c r="O40" s="4"/>
      <c r="P40" s="82"/>
    </row>
    <row r="41" spans="2:16">
      <c r="B41" s="81"/>
      <c r="C41" s="103" t="s">
        <v>28</v>
      </c>
      <c r="D41" s="7">
        <v>23556</v>
      </c>
      <c r="E41" s="7"/>
      <c r="F41" s="7"/>
      <c r="G41" s="7">
        <v>23556</v>
      </c>
      <c r="H41" s="107"/>
      <c r="I41" s="6"/>
      <c r="J41" s="83"/>
      <c r="K41" s="84"/>
      <c r="L41" s="84"/>
      <c r="M41" s="84"/>
      <c r="N41" s="84"/>
      <c r="O41" s="84"/>
      <c r="P41" s="85"/>
    </row>
    <row r="42" spans="2:16">
      <c r="B42" s="81"/>
      <c r="C42" s="103" t="s">
        <v>139</v>
      </c>
      <c r="D42" s="7">
        <v>3857</v>
      </c>
      <c r="E42" s="7"/>
      <c r="F42" s="7"/>
      <c r="G42" s="7">
        <v>3857</v>
      </c>
      <c r="H42" s="107"/>
      <c r="I42" s="6"/>
    </row>
    <row r="43" spans="2:16">
      <c r="B43" s="81"/>
      <c r="C43" s="31" t="s">
        <v>2</v>
      </c>
      <c r="D43" s="7">
        <v>23211</v>
      </c>
      <c r="E43" s="7"/>
      <c r="F43" s="7"/>
      <c r="G43" s="7">
        <v>23211</v>
      </c>
      <c r="H43" s="107"/>
      <c r="I43" s="6"/>
      <c r="J43" s="145"/>
      <c r="K43" s="121"/>
      <c r="L43" s="121"/>
      <c r="M43" s="121"/>
      <c r="N43" s="121"/>
      <c r="O43" s="121"/>
      <c r="P43" s="122"/>
    </row>
    <row r="44" spans="2:16">
      <c r="B44" s="81"/>
      <c r="C44" s="103" t="s">
        <v>14</v>
      </c>
      <c r="D44" s="7">
        <v>99</v>
      </c>
      <c r="E44" s="7"/>
      <c r="F44" s="7"/>
      <c r="G44" s="7">
        <v>99</v>
      </c>
      <c r="H44" s="107"/>
      <c r="I44" s="6"/>
      <c r="J44" s="81"/>
      <c r="K44" s="149" t="s">
        <v>1237</v>
      </c>
      <c r="L44" s="4"/>
      <c r="M44" s="4"/>
      <c r="N44" s="4"/>
      <c r="O44" s="4"/>
      <c r="P44" s="82"/>
    </row>
    <row r="45" spans="2:16">
      <c r="B45" s="81"/>
      <c r="C45" s="103" t="s">
        <v>36</v>
      </c>
      <c r="D45" s="7">
        <v>749</v>
      </c>
      <c r="E45" s="7"/>
      <c r="F45" s="7"/>
      <c r="G45" s="7">
        <v>749</v>
      </c>
      <c r="H45" s="107"/>
      <c r="I45" s="6"/>
      <c r="J45" s="81"/>
      <c r="K45" s="4"/>
      <c r="L45" s="4"/>
      <c r="M45" s="4"/>
      <c r="N45" s="4"/>
      <c r="O45" s="4"/>
      <c r="P45" s="82"/>
    </row>
    <row r="46" spans="2:16">
      <c r="B46" s="81"/>
      <c r="C46" s="103" t="s">
        <v>3</v>
      </c>
      <c r="D46" s="7">
        <v>8513</v>
      </c>
      <c r="E46" s="7"/>
      <c r="F46" s="7"/>
      <c r="G46" s="7">
        <v>8513</v>
      </c>
      <c r="H46" s="107"/>
      <c r="I46" s="6"/>
      <c r="J46" s="81"/>
      <c r="K46" s="104" t="s">
        <v>1117</v>
      </c>
      <c r="L46" s="4" t="s">
        <v>1219</v>
      </c>
      <c r="M46" s="4"/>
      <c r="N46" s="4"/>
      <c r="O46" s="4"/>
      <c r="P46" s="82"/>
    </row>
    <row r="47" spans="2:16">
      <c r="B47" s="81"/>
      <c r="C47" s="103" t="s">
        <v>99</v>
      </c>
      <c r="D47" s="7">
        <v>4099</v>
      </c>
      <c r="E47" s="7"/>
      <c r="F47" s="7"/>
      <c r="G47" s="7">
        <v>4099</v>
      </c>
      <c r="H47" s="107"/>
      <c r="I47" s="6"/>
      <c r="J47" s="81"/>
      <c r="K47" s="4"/>
      <c r="L47" s="4"/>
      <c r="M47" s="4"/>
      <c r="N47" s="4"/>
      <c r="O47" s="4"/>
      <c r="P47" s="82"/>
    </row>
    <row r="48" spans="2:16">
      <c r="B48" s="81"/>
      <c r="C48" s="103" t="s">
        <v>35</v>
      </c>
      <c r="D48" s="7">
        <v>4099</v>
      </c>
      <c r="E48" s="7"/>
      <c r="F48" s="7"/>
      <c r="G48" s="7">
        <v>4099</v>
      </c>
      <c r="H48" s="107"/>
      <c r="I48" s="6"/>
      <c r="J48" s="81"/>
      <c r="K48" s="104" t="s">
        <v>1130</v>
      </c>
      <c r="L48" s="104" t="s">
        <v>1036</v>
      </c>
      <c r="M48" s="4"/>
      <c r="N48" s="4"/>
      <c r="O48" s="4"/>
      <c r="P48" s="82"/>
    </row>
    <row r="49" spans="2:16">
      <c r="B49" s="81"/>
      <c r="C49" s="103" t="s">
        <v>16</v>
      </c>
      <c r="D49" s="7">
        <v>5165</v>
      </c>
      <c r="E49" s="7"/>
      <c r="F49" s="7"/>
      <c r="G49" s="7">
        <v>5165</v>
      </c>
      <c r="H49" s="107"/>
      <c r="I49" s="6"/>
      <c r="J49" s="81"/>
      <c r="K49" s="104" t="s">
        <v>1037</v>
      </c>
      <c r="L49" s="4" t="s">
        <v>1099</v>
      </c>
      <c r="M49" s="4" t="s">
        <v>1078</v>
      </c>
      <c r="N49" s="4" t="s">
        <v>1096</v>
      </c>
      <c r="O49" s="4" t="s">
        <v>1038</v>
      </c>
      <c r="P49" s="82"/>
    </row>
    <row r="50" spans="2:16">
      <c r="B50" s="81"/>
      <c r="C50" s="103" t="s">
        <v>410</v>
      </c>
      <c r="D50" s="7">
        <v>487</v>
      </c>
      <c r="E50" s="7"/>
      <c r="F50" s="7"/>
      <c r="G50" s="7">
        <v>487</v>
      </c>
      <c r="H50" s="107"/>
      <c r="I50" s="6"/>
      <c r="J50" s="81"/>
      <c r="K50" s="31" t="s">
        <v>11</v>
      </c>
      <c r="L50" s="7">
        <v>3610</v>
      </c>
      <c r="M50" s="7"/>
      <c r="N50" s="7"/>
      <c r="O50" s="7">
        <v>3610</v>
      </c>
      <c r="P50" s="82"/>
    </row>
    <row r="51" spans="2:16">
      <c r="B51" s="81"/>
      <c r="C51" s="31" t="s">
        <v>1038</v>
      </c>
      <c r="D51" s="7">
        <v>165572</v>
      </c>
      <c r="E51" s="7">
        <v>33256</v>
      </c>
      <c r="F51" s="7">
        <v>14</v>
      </c>
      <c r="G51" s="7">
        <v>198842</v>
      </c>
      <c r="H51" s="107"/>
      <c r="I51" s="6"/>
      <c r="J51" s="81"/>
      <c r="K51" s="31" t="s">
        <v>7</v>
      </c>
      <c r="L51" s="7">
        <v>102983</v>
      </c>
      <c r="M51" s="7">
        <v>14162</v>
      </c>
      <c r="N51" s="7"/>
      <c r="O51" s="7">
        <v>117145</v>
      </c>
      <c r="P51" s="82"/>
    </row>
    <row r="52" spans="2:16">
      <c r="B52" s="83"/>
      <c r="C52" s="84"/>
      <c r="D52" s="84"/>
      <c r="E52" s="84"/>
      <c r="F52" s="84"/>
      <c r="G52" s="84"/>
      <c r="H52" s="85"/>
      <c r="J52" s="81"/>
      <c r="K52" s="31" t="s">
        <v>10</v>
      </c>
      <c r="L52" s="7">
        <v>1225</v>
      </c>
      <c r="M52" s="7">
        <v>19049</v>
      </c>
      <c r="N52" s="7">
        <v>4</v>
      </c>
      <c r="O52" s="7">
        <v>20278</v>
      </c>
      <c r="P52" s="82"/>
    </row>
    <row r="53" spans="2:16">
      <c r="J53" s="81"/>
      <c r="K53" s="31" t="s">
        <v>4</v>
      </c>
      <c r="L53" s="7">
        <v>215</v>
      </c>
      <c r="M53" s="7">
        <v>45</v>
      </c>
      <c r="N53" s="7">
        <v>10</v>
      </c>
      <c r="O53" s="7">
        <v>270</v>
      </c>
      <c r="P53" s="82"/>
    </row>
    <row r="54" spans="2:16">
      <c r="B54" s="145"/>
      <c r="C54" s="121"/>
      <c r="D54" s="121"/>
      <c r="E54" s="121"/>
      <c r="F54" s="121"/>
      <c r="G54" s="121"/>
      <c r="H54" s="122"/>
      <c r="J54" s="81"/>
      <c r="K54" s="31" t="s">
        <v>27</v>
      </c>
      <c r="L54" s="7">
        <v>34328</v>
      </c>
      <c r="M54" s="7"/>
      <c r="N54" s="7"/>
      <c r="O54" s="7">
        <v>34328</v>
      </c>
      <c r="P54" s="82"/>
    </row>
    <row r="55" spans="2:16">
      <c r="B55" s="81"/>
      <c r="C55" s="149" t="s">
        <v>1240</v>
      </c>
      <c r="D55" s="4"/>
      <c r="E55" s="4"/>
      <c r="F55" s="4"/>
      <c r="G55" s="4"/>
      <c r="H55" s="82"/>
      <c r="J55" s="81"/>
      <c r="K55" s="31" t="s">
        <v>2</v>
      </c>
      <c r="L55" s="7">
        <v>23211</v>
      </c>
      <c r="M55" s="7"/>
      <c r="N55" s="7"/>
      <c r="O55" s="7">
        <v>23211</v>
      </c>
      <c r="P55" s="82"/>
    </row>
    <row r="56" spans="2:16">
      <c r="B56" s="81"/>
      <c r="C56" s="4"/>
      <c r="D56" s="4"/>
      <c r="E56" s="4"/>
      <c r="F56" s="4"/>
      <c r="G56" s="4"/>
      <c r="H56" s="82"/>
      <c r="J56" s="81"/>
      <c r="K56" s="31" t="s">
        <v>1038</v>
      </c>
      <c r="L56" s="7">
        <v>165572</v>
      </c>
      <c r="M56" s="7">
        <v>33256</v>
      </c>
      <c r="N56" s="7">
        <v>14</v>
      </c>
      <c r="O56" s="7">
        <v>198842</v>
      </c>
      <c r="P56" s="82"/>
    </row>
    <row r="57" spans="2:16">
      <c r="B57" s="81"/>
      <c r="C57" s="104" t="s">
        <v>1130</v>
      </c>
      <c r="D57" s="104" t="s">
        <v>1036</v>
      </c>
      <c r="E57" s="4"/>
      <c r="F57" s="4"/>
      <c r="G57" s="4"/>
      <c r="H57" s="82"/>
      <c r="J57" s="81"/>
      <c r="K57" s="4"/>
      <c r="L57" s="4"/>
      <c r="M57" s="4"/>
      <c r="N57" s="4"/>
      <c r="O57" s="4"/>
      <c r="P57" s="82"/>
    </row>
    <row r="58" spans="2:16">
      <c r="B58" s="81"/>
      <c r="C58" s="104" t="s">
        <v>1037</v>
      </c>
      <c r="D58" s="4" t="s">
        <v>1</v>
      </c>
      <c r="E58" s="4" t="s">
        <v>1065</v>
      </c>
      <c r="F58" s="4" t="s">
        <v>1038</v>
      </c>
      <c r="G58" s="4"/>
      <c r="H58" s="82"/>
      <c r="J58" s="81"/>
      <c r="K58" s="149" t="s">
        <v>1236</v>
      </c>
      <c r="L58" s="4"/>
      <c r="M58" s="4"/>
      <c r="N58" s="4"/>
      <c r="O58" s="4"/>
      <c r="P58" s="82"/>
    </row>
    <row r="59" spans="2:16">
      <c r="B59" s="81"/>
      <c r="C59" s="31" t="s">
        <v>1074</v>
      </c>
      <c r="D59" s="7">
        <v>20426</v>
      </c>
      <c r="E59" s="7">
        <v>10</v>
      </c>
      <c r="F59" s="7">
        <v>20436</v>
      </c>
      <c r="G59" s="4"/>
      <c r="H59" s="82"/>
      <c r="J59" s="81"/>
      <c r="K59" s="4"/>
      <c r="L59" s="4"/>
      <c r="M59" s="4"/>
      <c r="N59" s="4"/>
      <c r="O59" s="4"/>
      <c r="P59" s="82"/>
    </row>
    <row r="60" spans="2:16">
      <c r="B60" s="81"/>
      <c r="C60" s="31" t="s">
        <v>1073</v>
      </c>
      <c r="D60" s="7">
        <v>61719</v>
      </c>
      <c r="E60" s="7">
        <v>3926</v>
      </c>
      <c r="F60" s="7">
        <v>65645</v>
      </c>
      <c r="G60" s="4"/>
      <c r="H60" s="82"/>
      <c r="J60" s="81"/>
      <c r="K60" s="3" t="s">
        <v>1132</v>
      </c>
      <c r="L60" s="3" t="s">
        <v>1078</v>
      </c>
      <c r="M60" s="3" t="s">
        <v>1099</v>
      </c>
      <c r="N60" s="3" t="s">
        <v>1096</v>
      </c>
      <c r="O60" s="4"/>
      <c r="P60" s="82"/>
    </row>
    <row r="61" spans="2:16">
      <c r="B61" s="81"/>
      <c r="C61" s="31" t="s">
        <v>1072</v>
      </c>
      <c r="D61" s="7">
        <v>46374</v>
      </c>
      <c r="E61" s="7">
        <v>2295</v>
      </c>
      <c r="F61" s="7">
        <v>48669</v>
      </c>
      <c r="G61" s="4"/>
      <c r="H61" s="82"/>
      <c r="J61" s="81"/>
      <c r="K61" s="31" t="s">
        <v>11</v>
      </c>
      <c r="L61" s="17">
        <f>GETPIVOTDATA("Ind.",$K$48,"Admin2","Diamare","Displacement Reason","Floods_Natural_Disasters")/GETPIVOTDATA("Ind.",$K$48)</f>
        <v>0</v>
      </c>
      <c r="M61" s="17">
        <f>GETPIVOTDATA("Ind.",$K$48,"Admin2","Diamare","Displacement Reason","Conflict_ISWA")/GETPIVOTDATA("Ind.",$K$48)</f>
        <v>1.8155118133995837E-2</v>
      </c>
      <c r="N61" s="17">
        <f>GETPIVOTDATA("Ind.",$K$48,"Admin2","Diamare","Displacement Reason","Other")/GETPIVOTDATA("Ind.",$K$48)</f>
        <v>0</v>
      </c>
      <c r="O61" s="4"/>
      <c r="P61" s="82"/>
    </row>
    <row r="62" spans="2:16">
      <c r="B62" s="81"/>
      <c r="C62" s="31" t="s">
        <v>1076</v>
      </c>
      <c r="D62" s="7">
        <v>39232</v>
      </c>
      <c r="E62" s="7">
        <v>1898</v>
      </c>
      <c r="F62" s="7">
        <v>41130</v>
      </c>
      <c r="G62" s="4"/>
      <c r="H62" s="82"/>
      <c r="J62" s="81"/>
      <c r="K62" s="31" t="s">
        <v>7</v>
      </c>
      <c r="L62" s="17">
        <f>GETPIVOTDATA("Ind.",$K$48,"Admin2","Logone-Et-Chari","Displacement Reason","Floods_Natural_Disasters")/GETPIVOTDATA("Ind.",$K$48)</f>
        <v>7.1222377566107761E-2</v>
      </c>
      <c r="M62" s="17">
        <f>GETPIVOTDATA("Ind.",$K$48,"Admin2","Logone-Et-Chari","Displacement Reason","Conflict_ISWA")/GETPIVOTDATA("Ind.",$K$48)</f>
        <v>0.51791372044135542</v>
      </c>
      <c r="N62" s="17">
        <f>GETPIVOTDATA("Ind.",$K$48,"Admin2","Logone-Et-Chari","Displacement Reason","Other")/GETPIVOTDATA("Ind.",$K$48)</f>
        <v>0</v>
      </c>
      <c r="O62" s="4"/>
      <c r="P62" s="82"/>
    </row>
    <row r="63" spans="2:16">
      <c r="B63" s="81"/>
      <c r="C63" s="31" t="s">
        <v>1075</v>
      </c>
      <c r="D63" s="7">
        <v>14312</v>
      </c>
      <c r="E63" s="7">
        <v>122</v>
      </c>
      <c r="F63" s="7">
        <v>14434</v>
      </c>
      <c r="G63" s="4"/>
      <c r="H63" s="82"/>
      <c r="J63" s="81"/>
      <c r="K63" s="31" t="s">
        <v>10</v>
      </c>
      <c r="L63" s="17">
        <f>GETPIVOTDATA("Ind.",$K$48,"Admin2","Mayo-Danay","Displacement Reason","Floods_Natural_Disasters")/GETPIVOTDATA("Ind.",$K$48)</f>
        <v>9.5799680148057245E-2</v>
      </c>
      <c r="M63" s="17">
        <f>GETPIVOTDATA("Ind.",$K$48,"Admin2","Mayo-Danay","Displacement Reason","Conflict_ISWA")/GETPIVOTDATA("Ind.",$K$48)</f>
        <v>6.160670280926565E-3</v>
      </c>
      <c r="N63" s="17">
        <f>GETPIVOTDATA("Ind.",$K$48,"Admin2","Mayo-Danay","Displacement Reason","Other")/GETPIVOTDATA("Ind.",$K$48)</f>
        <v>2.0116474386698986E-5</v>
      </c>
      <c r="O63" s="4"/>
      <c r="P63" s="82"/>
    </row>
    <row r="64" spans="2:16">
      <c r="B64" s="81"/>
      <c r="C64" s="31" t="s">
        <v>1077</v>
      </c>
      <c r="D64" s="7">
        <v>8528</v>
      </c>
      <c r="E64" s="7"/>
      <c r="F64" s="7">
        <v>8528</v>
      </c>
      <c r="G64" s="4"/>
      <c r="H64" s="82"/>
      <c r="J64" s="81"/>
      <c r="K64" s="31" t="s">
        <v>4</v>
      </c>
      <c r="L64" s="17">
        <f>GETPIVOTDATA("Ind.",$K$48,"Admin2","Mayo-Kani","Displacement Reason","Floods_Natural_Disasters")/GETPIVOTDATA("Ind.",$K$48)</f>
        <v>2.263103368503636E-4</v>
      </c>
      <c r="M64" s="17">
        <f>GETPIVOTDATA("Ind.",$K$48,"Admin2","Mayo-Kani","Displacement Reason","Conflict_ISWA")/GETPIVOTDATA("Ind.",$K$48)</f>
        <v>1.0812604982850707E-3</v>
      </c>
      <c r="N64" s="17">
        <f>GETPIVOTDATA("Ind.",$K$48,"Admin2","Mayo-Kani","Displacement Reason","Other")/GETPIVOTDATA("Ind.",$K$48)</f>
        <v>5.0291185966747471E-5</v>
      </c>
      <c r="O64" s="4"/>
      <c r="P64" s="82"/>
    </row>
    <row r="65" spans="2:16">
      <c r="B65" s="81"/>
      <c r="C65" s="31" t="s">
        <v>1038</v>
      </c>
      <c r="D65" s="7">
        <v>190591</v>
      </c>
      <c r="E65" s="7">
        <v>8251</v>
      </c>
      <c r="F65" s="7">
        <v>198842</v>
      </c>
      <c r="G65" s="4"/>
      <c r="H65" s="82"/>
      <c r="J65" s="81"/>
      <c r="K65" s="31" t="s">
        <v>27</v>
      </c>
      <c r="L65" s="17">
        <f>GETPIVOTDATA("Ind.",$K$48,"Admin2","Mayo-Sava","Displacement Reason","Floods_Natural_Disasters")/GETPIVOTDATA("Ind.",$K$48)</f>
        <v>0</v>
      </c>
      <c r="M65" s="17">
        <f>GETPIVOTDATA("Ind.",$K$48,"Admin2","Mayo-Sava","Displacement Reason","Conflict_ISWA")/GETPIVOTDATA("Ind.",$K$48)</f>
        <v>0.17263958318665071</v>
      </c>
      <c r="N65" s="17">
        <f>GETPIVOTDATA("Ind.",$K$48,"Admin2","Mayo-Sava","Displacement Reason","Other")/GETPIVOTDATA("Ind.",$K$48)</f>
        <v>0</v>
      </c>
      <c r="O65" s="4"/>
      <c r="P65" s="82"/>
    </row>
    <row r="66" spans="2:16">
      <c r="B66" s="81"/>
      <c r="C66" s="4"/>
      <c r="D66" s="4"/>
      <c r="E66" s="4"/>
      <c r="F66" s="4"/>
      <c r="G66" s="4"/>
      <c r="H66" s="82"/>
      <c r="J66" s="81"/>
      <c r="K66" s="31" t="s">
        <v>2</v>
      </c>
      <c r="L66" s="17">
        <f>GETPIVOTDATA("Ind.",$K$48,"Admin2","Mayo-Tsanaga","Displacement Reason","Floods_Natural_Disasters")/GETPIVOTDATA("Ind.",$K$48)</f>
        <v>0</v>
      </c>
      <c r="M66" s="17">
        <f>GETPIVOTDATA("Ind.",$K$48,"Admin2","Mayo-Tsanaga","Displacement Reason","Conflict_ISWA")/GETPIVOTDATA("Ind.",$K$48)</f>
        <v>0.11673087174741754</v>
      </c>
      <c r="N66" s="17">
        <f>GETPIVOTDATA("Ind.",$K$48,"Admin2","Mayo-Tsanaga","Displacement Reason","Other")/GETPIVOTDATA("Ind.",$K$48)</f>
        <v>0</v>
      </c>
      <c r="O66" s="4"/>
      <c r="P66" s="82"/>
    </row>
    <row r="67" spans="2:16">
      <c r="B67" s="81"/>
      <c r="C67" s="4"/>
      <c r="D67" s="4"/>
      <c r="E67" s="4"/>
      <c r="F67" s="4"/>
      <c r="G67" s="4"/>
      <c r="H67" s="82"/>
      <c r="J67" s="81"/>
      <c r="K67" s="5" t="s">
        <v>1038</v>
      </c>
      <c r="L67" s="35">
        <f>GETPIVOTDATA("Ind.",$K$48,"Displacement Reason","Floods_Natural_Disasters")/GETPIVOTDATA("Ind.",$K$48)</f>
        <v>0.16724836805101537</v>
      </c>
      <c r="M67" s="35">
        <f>GETPIVOTDATA("Ind.",$K$48,"Displacement Reason","Conflict_ISWA")/GETPIVOTDATA("Ind.",$K$48)</f>
        <v>0.83268122428863123</v>
      </c>
      <c r="N67" s="35">
        <f>GETPIVOTDATA("Ind.",$K$48,"Displacement Reason","Other")/GETPIVOTDATA("Ind.",$K$48)</f>
        <v>7.040766035344645E-5</v>
      </c>
      <c r="O67" s="4"/>
      <c r="P67" s="82"/>
    </row>
    <row r="68" spans="2:16">
      <c r="B68" s="81"/>
      <c r="C68" s="4"/>
      <c r="D68" s="4"/>
      <c r="E68" s="4"/>
      <c r="F68" s="4"/>
      <c r="G68" s="4"/>
      <c r="H68" s="82"/>
      <c r="J68" s="81"/>
      <c r="K68" s="4"/>
      <c r="L68" s="4"/>
      <c r="M68" s="4"/>
      <c r="N68" s="4"/>
      <c r="O68" s="4"/>
      <c r="P68" s="82"/>
    </row>
    <row r="69" spans="2:16">
      <c r="B69" s="81"/>
      <c r="C69" s="4"/>
      <c r="D69" s="4"/>
      <c r="E69" s="4"/>
      <c r="F69" s="4"/>
      <c r="G69" s="4"/>
      <c r="H69" s="82"/>
      <c r="J69" s="81"/>
      <c r="K69" s="4"/>
      <c r="L69" s="4"/>
      <c r="M69" s="4"/>
      <c r="N69" s="4"/>
      <c r="O69" s="4"/>
      <c r="P69" s="82"/>
    </row>
    <row r="70" spans="2:16">
      <c r="B70" s="81"/>
      <c r="C70" s="4"/>
      <c r="D70" s="4"/>
      <c r="E70" s="4"/>
      <c r="F70" s="4"/>
      <c r="G70" s="4"/>
      <c r="H70" s="82"/>
      <c r="J70" s="81"/>
      <c r="K70" s="4"/>
      <c r="L70" s="4"/>
      <c r="M70" s="4"/>
      <c r="N70" s="4"/>
      <c r="O70" s="4"/>
      <c r="P70" s="82"/>
    </row>
    <row r="71" spans="2:16">
      <c r="B71" s="81"/>
      <c r="C71" s="4"/>
      <c r="D71" s="4"/>
      <c r="E71" s="4"/>
      <c r="F71" s="4"/>
      <c r="G71" s="4"/>
      <c r="H71" s="82"/>
      <c r="J71" s="81"/>
      <c r="K71" s="4"/>
      <c r="L71" s="4"/>
      <c r="M71" s="4"/>
      <c r="N71" s="4"/>
      <c r="O71" s="4"/>
      <c r="P71" s="82"/>
    </row>
    <row r="72" spans="2:16">
      <c r="B72" s="81"/>
      <c r="C72" s="4"/>
      <c r="D72" s="4"/>
      <c r="E72" s="4"/>
      <c r="F72" s="4"/>
      <c r="G72" s="4"/>
      <c r="H72" s="82"/>
      <c r="J72" s="81"/>
      <c r="K72" s="4"/>
      <c r="L72" s="4"/>
      <c r="M72" s="4"/>
      <c r="N72" s="4"/>
      <c r="O72" s="4"/>
      <c r="P72" s="82"/>
    </row>
    <row r="73" spans="2:16">
      <c r="B73" s="81"/>
      <c r="C73" s="4"/>
      <c r="D73" s="4"/>
      <c r="E73" s="4"/>
      <c r="F73" s="4"/>
      <c r="G73" s="4"/>
      <c r="H73" s="82"/>
      <c r="J73" s="81"/>
      <c r="K73" s="4"/>
      <c r="L73" s="4"/>
      <c r="M73" s="4"/>
      <c r="N73" s="4"/>
      <c r="O73" s="4"/>
      <c r="P73" s="82"/>
    </row>
    <row r="74" spans="2:16">
      <c r="B74" s="81"/>
      <c r="C74" s="4"/>
      <c r="D74" s="4"/>
      <c r="E74" s="4"/>
      <c r="F74" s="4"/>
      <c r="G74" s="4"/>
      <c r="H74" s="82"/>
      <c r="J74" s="81"/>
      <c r="K74" s="4"/>
      <c r="L74" s="4"/>
      <c r="M74" s="4"/>
      <c r="N74" s="4"/>
      <c r="O74" s="4"/>
      <c r="P74" s="82"/>
    </row>
    <row r="75" spans="2:16">
      <c r="B75" s="81"/>
      <c r="C75" s="4"/>
      <c r="D75" s="4"/>
      <c r="E75" s="4"/>
      <c r="F75" s="4"/>
      <c r="G75" s="4"/>
      <c r="H75" s="82"/>
      <c r="J75" s="81"/>
      <c r="K75" s="4"/>
      <c r="L75" s="4"/>
      <c r="M75" s="4"/>
      <c r="N75" s="4"/>
      <c r="O75" s="4"/>
      <c r="P75" s="82"/>
    </row>
    <row r="76" spans="2:16">
      <c r="B76" s="81"/>
      <c r="C76" s="4"/>
      <c r="D76" s="4"/>
      <c r="E76" s="4"/>
      <c r="F76" s="4"/>
      <c r="G76" s="4"/>
      <c r="H76" s="82"/>
      <c r="J76" s="81"/>
      <c r="K76" s="4"/>
      <c r="L76" s="4"/>
      <c r="M76" s="4"/>
      <c r="N76" s="4"/>
      <c r="O76" s="4"/>
      <c r="P76" s="82"/>
    </row>
    <row r="77" spans="2:16">
      <c r="B77" s="81"/>
      <c r="C77" s="4"/>
      <c r="D77" s="4"/>
      <c r="E77" s="4"/>
      <c r="F77" s="4"/>
      <c r="G77" s="4"/>
      <c r="H77" s="82"/>
      <c r="J77" s="81"/>
      <c r="K77" s="4"/>
      <c r="L77" s="4"/>
      <c r="M77" s="4"/>
      <c r="N77" s="4"/>
      <c r="O77" s="4"/>
      <c r="P77" s="82"/>
    </row>
    <row r="78" spans="2:16">
      <c r="B78" s="81"/>
      <c r="C78" s="4"/>
      <c r="D78" s="4"/>
      <c r="E78" s="4"/>
      <c r="F78" s="4"/>
      <c r="G78" s="4"/>
      <c r="H78" s="82"/>
      <c r="J78" s="81"/>
      <c r="K78" s="4"/>
      <c r="L78" s="4"/>
      <c r="M78" s="4"/>
      <c r="N78" s="4"/>
      <c r="O78" s="4"/>
      <c r="P78" s="82"/>
    </row>
    <row r="79" spans="2:16">
      <c r="B79" s="81"/>
      <c r="C79" s="4"/>
      <c r="D79" s="4"/>
      <c r="E79" s="4"/>
      <c r="F79" s="4"/>
      <c r="G79" s="4"/>
      <c r="H79" s="82"/>
      <c r="J79" s="81"/>
      <c r="K79" s="4"/>
      <c r="L79" s="4"/>
      <c r="M79" s="4"/>
      <c r="N79" s="4"/>
      <c r="O79" s="4"/>
      <c r="P79" s="82"/>
    </row>
    <row r="80" spans="2:16">
      <c r="B80" s="81"/>
      <c r="C80" s="4"/>
      <c r="D80" s="4"/>
      <c r="E80" s="4"/>
      <c r="F80" s="4"/>
      <c r="G80" s="4"/>
      <c r="H80" s="82"/>
      <c r="J80" s="81"/>
      <c r="K80" s="4"/>
      <c r="L80" s="4"/>
      <c r="M80" s="4"/>
      <c r="N80" s="4"/>
      <c r="O80" s="4"/>
      <c r="P80" s="82"/>
    </row>
    <row r="81" spans="2:16">
      <c r="B81" s="81"/>
      <c r="C81" s="4"/>
      <c r="D81" s="4"/>
      <c r="E81" s="4"/>
      <c r="F81" s="4"/>
      <c r="G81" s="4"/>
      <c r="H81" s="82"/>
      <c r="J81" s="81"/>
      <c r="K81" s="4"/>
      <c r="L81" s="4"/>
      <c r="M81" s="4"/>
      <c r="N81" s="4"/>
      <c r="O81" s="4"/>
      <c r="P81" s="82"/>
    </row>
    <row r="82" spans="2:16">
      <c r="B82" s="81"/>
      <c r="C82" s="4"/>
      <c r="D82" s="4"/>
      <c r="E82" s="4"/>
      <c r="F82" s="4"/>
      <c r="G82" s="4"/>
      <c r="H82" s="82"/>
      <c r="J82" s="81"/>
      <c r="K82" s="4"/>
      <c r="L82" s="4"/>
      <c r="M82" s="4"/>
      <c r="N82" s="4"/>
      <c r="O82" s="4"/>
      <c r="P82" s="82"/>
    </row>
    <row r="83" spans="2:16">
      <c r="B83" s="81"/>
      <c r="C83" s="4"/>
      <c r="D83" s="4"/>
      <c r="E83" s="4"/>
      <c r="F83" s="4"/>
      <c r="G83" s="4"/>
      <c r="H83" s="82"/>
      <c r="J83" s="81"/>
      <c r="K83" s="4"/>
      <c r="L83" s="4"/>
      <c r="M83" s="4"/>
      <c r="N83" s="4"/>
      <c r="O83" s="4"/>
      <c r="P83" s="82"/>
    </row>
    <row r="84" spans="2:16">
      <c r="B84" s="81"/>
      <c r="C84" s="4"/>
      <c r="D84" s="4"/>
      <c r="E84" s="4"/>
      <c r="F84" s="4"/>
      <c r="G84" s="4"/>
      <c r="H84" s="82"/>
      <c r="J84" s="81"/>
      <c r="K84" s="4"/>
      <c r="L84" s="4"/>
      <c r="M84" s="4"/>
      <c r="N84" s="4"/>
      <c r="O84" s="4"/>
      <c r="P84" s="82"/>
    </row>
    <row r="85" spans="2:16">
      <c r="B85" s="81"/>
      <c r="C85" s="4"/>
      <c r="D85" s="4"/>
      <c r="E85" s="4"/>
      <c r="F85" s="4"/>
      <c r="G85" s="4"/>
      <c r="H85" s="82"/>
      <c r="J85" s="81"/>
      <c r="K85" s="4"/>
      <c r="L85" s="4"/>
      <c r="M85" s="4"/>
      <c r="N85" s="4"/>
      <c r="O85" s="4"/>
      <c r="P85" s="82"/>
    </row>
    <row r="86" spans="2:16">
      <c r="B86" s="83"/>
      <c r="C86" s="84"/>
      <c r="D86" s="84"/>
      <c r="E86" s="84"/>
      <c r="F86" s="84"/>
      <c r="G86" s="84"/>
      <c r="H86" s="85"/>
      <c r="J86" s="83"/>
      <c r="K86" s="84"/>
      <c r="L86" s="84"/>
      <c r="M86" s="84"/>
      <c r="N86" s="84"/>
      <c r="O86" s="84"/>
      <c r="P86" s="85"/>
    </row>
    <row r="88" spans="2:16">
      <c r="B88" s="145"/>
      <c r="C88" s="121"/>
      <c r="D88" s="121"/>
      <c r="E88" s="121"/>
      <c r="F88" s="121"/>
      <c r="G88" s="121"/>
      <c r="H88" s="121"/>
      <c r="I88" s="164"/>
      <c r="J88" s="121"/>
      <c r="K88" s="121"/>
      <c r="L88" s="121"/>
      <c r="M88" s="121"/>
      <c r="N88" s="121"/>
      <c r="O88" s="121"/>
      <c r="P88" s="122"/>
    </row>
    <row r="89" spans="2:16">
      <c r="B89" s="81"/>
      <c r="C89" s="149" t="s">
        <v>1249</v>
      </c>
      <c r="D89" s="4"/>
      <c r="E89" s="4"/>
      <c r="F89" s="4"/>
      <c r="G89" s="4"/>
      <c r="H89" s="4"/>
      <c r="I89" s="7"/>
      <c r="J89" s="4"/>
      <c r="K89" s="4"/>
      <c r="L89" s="4"/>
      <c r="M89" s="4"/>
      <c r="N89" s="4"/>
      <c r="O89" s="4"/>
      <c r="P89" s="82"/>
    </row>
    <row r="90" spans="2:16">
      <c r="B90" s="81"/>
      <c r="H90" s="4"/>
      <c r="I90" s="7"/>
      <c r="J90" s="4"/>
      <c r="K90" s="4"/>
      <c r="L90" s="4"/>
      <c r="M90" s="4"/>
      <c r="N90" s="4"/>
      <c r="O90" s="4"/>
      <c r="P90" s="82"/>
    </row>
    <row r="91" spans="2:16">
      <c r="B91" s="81"/>
      <c r="C91" s="119" t="s">
        <v>1130</v>
      </c>
      <c r="D91" s="120" t="s">
        <v>1036</v>
      </c>
      <c r="E91" s="121"/>
      <c r="F91" s="121"/>
      <c r="G91" s="122"/>
      <c r="H91" s="4"/>
      <c r="I91" s="7"/>
      <c r="J91" s="4"/>
      <c r="K91" s="4"/>
      <c r="L91" s="4"/>
      <c r="M91" s="4"/>
      <c r="N91" s="4"/>
      <c r="O91" s="4"/>
      <c r="P91" s="82"/>
    </row>
    <row r="92" spans="2:16">
      <c r="B92" s="81"/>
      <c r="C92" s="139" t="s">
        <v>1037</v>
      </c>
      <c r="D92" s="4" t="s">
        <v>1078</v>
      </c>
      <c r="E92" s="4" t="s">
        <v>1099</v>
      </c>
      <c r="F92" s="4" t="s">
        <v>1096</v>
      </c>
      <c r="G92" s="82" t="s">
        <v>1038</v>
      </c>
      <c r="H92" s="4"/>
      <c r="I92" s="7"/>
      <c r="J92" s="4"/>
      <c r="K92" s="4"/>
      <c r="L92" s="4"/>
      <c r="M92" s="4"/>
      <c r="N92" s="4"/>
      <c r="O92" s="4"/>
      <c r="P92" s="82"/>
    </row>
    <row r="93" spans="2:16">
      <c r="B93" s="81"/>
      <c r="C93" s="140" t="s">
        <v>1</v>
      </c>
      <c r="D93" s="7">
        <v>33256</v>
      </c>
      <c r="E93" s="7">
        <v>157335</v>
      </c>
      <c r="F93" s="7"/>
      <c r="G93" s="107">
        <v>190591</v>
      </c>
      <c r="H93" s="4"/>
      <c r="I93" s="7"/>
      <c r="J93" s="4"/>
      <c r="K93" s="4"/>
      <c r="L93" s="4"/>
      <c r="M93" s="4"/>
      <c r="N93" s="4"/>
      <c r="O93" s="4"/>
      <c r="P93" s="82"/>
    </row>
    <row r="94" spans="2:16">
      <c r="B94" s="81"/>
      <c r="C94" s="140" t="s">
        <v>1065</v>
      </c>
      <c r="D94" s="7"/>
      <c r="E94" s="7">
        <v>8237</v>
      </c>
      <c r="F94" s="7">
        <v>14</v>
      </c>
      <c r="G94" s="107">
        <v>8251</v>
      </c>
      <c r="H94" s="4"/>
      <c r="I94" s="7"/>
      <c r="J94" s="4"/>
      <c r="K94" s="4"/>
      <c r="L94" s="4"/>
      <c r="M94" s="4"/>
      <c r="N94" s="4"/>
      <c r="O94" s="4"/>
      <c r="P94" s="82"/>
    </row>
    <row r="95" spans="2:16">
      <c r="B95" s="81"/>
      <c r="C95" s="141" t="s">
        <v>1038</v>
      </c>
      <c r="D95" s="142">
        <v>33256</v>
      </c>
      <c r="E95" s="142">
        <v>165572</v>
      </c>
      <c r="F95" s="142">
        <v>14</v>
      </c>
      <c r="G95" s="143">
        <v>198842</v>
      </c>
      <c r="H95" s="4"/>
      <c r="I95" s="4"/>
      <c r="J95" s="4"/>
      <c r="K95" s="4"/>
      <c r="L95" s="4"/>
      <c r="M95" s="4"/>
      <c r="N95" s="4"/>
      <c r="O95" s="4"/>
      <c r="P95" s="82"/>
    </row>
    <row r="96" spans="2:16">
      <c r="B96" s="81"/>
      <c r="C96" s="163" t="s">
        <v>407</v>
      </c>
      <c r="D96" s="165">
        <f>GETPIVOTDATA("Ind.",$C$91,"Displacement Reason","Floods_Natural_Disasters")/GETPIVOTDATA("Ind.",$C$91)</f>
        <v>0.16724836805101537</v>
      </c>
      <c r="E96" s="165">
        <f>GETPIVOTDATA("Ind.",$C$91,"Displacement Reason","Conflict_ISWA")/GETPIVOTDATA("Ind.",$C$91)</f>
        <v>0.83268122428863123</v>
      </c>
      <c r="F96" s="165">
        <f>GETPIVOTDATA("Ind.",$C$91,"Displacement Reason","Other")/GETPIVOTDATA("Ind.",$C$91)</f>
        <v>7.040766035344645E-5</v>
      </c>
      <c r="G96" s="166">
        <f>SUM(D96:F96)</f>
        <v>1</v>
      </c>
      <c r="H96" s="4"/>
      <c r="I96" s="4"/>
      <c r="J96" s="4"/>
      <c r="K96" s="4"/>
      <c r="L96" s="4"/>
      <c r="M96" s="4"/>
      <c r="N96" s="4"/>
      <c r="O96" s="4"/>
      <c r="P96" s="82"/>
    </row>
    <row r="97" spans="2:16">
      <c r="B97" s="8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82"/>
    </row>
    <row r="98" spans="2:16">
      <c r="B98" s="8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82"/>
    </row>
    <row r="99" spans="2:16">
      <c r="B99" s="8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82"/>
    </row>
    <row r="100" spans="2:16"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</row>
  </sheetData>
  <pageMargins left="0.7" right="0.7" top="0.75" bottom="0.75" header="0.3" footer="0.3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118"/>
  <sheetViews>
    <sheetView workbookViewId="0">
      <selection activeCell="B3" sqref="B3"/>
    </sheetView>
  </sheetViews>
  <sheetFormatPr defaultRowHeight="15"/>
  <cols>
    <col min="1" max="1" width="15.42578125" bestFit="1" customWidth="1"/>
    <col min="2" max="2" width="15" bestFit="1" customWidth="1"/>
    <col min="3" max="3" width="36" bestFit="1" customWidth="1"/>
    <col min="4" max="4" width="21" bestFit="1" customWidth="1"/>
    <col min="5" max="5" width="34.42578125" bestFit="1" customWidth="1"/>
    <col min="6" max="6" width="32.140625" bestFit="1" customWidth="1"/>
  </cols>
  <sheetData>
    <row r="1" spans="1:6">
      <c r="A1" s="62" t="s">
        <v>1059</v>
      </c>
      <c r="B1" s="62" t="s">
        <v>1060</v>
      </c>
      <c r="C1" s="62" t="s">
        <v>1061</v>
      </c>
      <c r="D1" s="63" t="s">
        <v>1062</v>
      </c>
      <c r="E1" s="63" t="s">
        <v>1063</v>
      </c>
      <c r="F1" s="63" t="s">
        <v>1064</v>
      </c>
    </row>
    <row r="2" spans="1:6">
      <c r="A2" s="4" t="s">
        <v>11</v>
      </c>
      <c r="B2" s="4" t="s">
        <v>26</v>
      </c>
      <c r="C2" s="4" t="s">
        <v>967</v>
      </c>
      <c r="D2" s="4" t="s">
        <v>1093</v>
      </c>
      <c r="E2" s="4" t="s">
        <v>389</v>
      </c>
      <c r="F2" s="4"/>
    </row>
    <row r="3" spans="1:6">
      <c r="A3" s="4" t="s">
        <v>11</v>
      </c>
      <c r="B3" s="4" t="s">
        <v>26</v>
      </c>
      <c r="C3" s="4" t="s">
        <v>1079</v>
      </c>
      <c r="D3" s="4" t="s">
        <v>1094</v>
      </c>
      <c r="E3" s="4" t="s">
        <v>389</v>
      </c>
      <c r="F3" s="4"/>
    </row>
    <row r="4" spans="1:6">
      <c r="A4" s="4" t="s">
        <v>11</v>
      </c>
      <c r="B4" s="4" t="s">
        <v>30</v>
      </c>
      <c r="C4" s="4" t="s">
        <v>388</v>
      </c>
      <c r="D4" s="4" t="s">
        <v>1094</v>
      </c>
      <c r="E4" s="4" t="s">
        <v>389</v>
      </c>
      <c r="F4" s="4"/>
    </row>
    <row r="5" spans="1:6">
      <c r="A5" s="4" t="s">
        <v>11</v>
      </c>
      <c r="B5" s="4" t="s">
        <v>23</v>
      </c>
      <c r="C5" s="4" t="s">
        <v>125</v>
      </c>
      <c r="D5" s="4" t="s">
        <v>1095</v>
      </c>
      <c r="E5" s="4" t="s">
        <v>389</v>
      </c>
      <c r="F5" s="4"/>
    </row>
    <row r="6" spans="1:6">
      <c r="A6" s="4" t="s">
        <v>11</v>
      </c>
      <c r="B6" s="4" t="s">
        <v>34</v>
      </c>
      <c r="C6" s="4" t="s">
        <v>968</v>
      </c>
      <c r="D6" s="4" t="s">
        <v>1093</v>
      </c>
      <c r="E6" s="4" t="s">
        <v>396</v>
      </c>
      <c r="F6" s="4"/>
    </row>
    <row r="7" spans="1:6">
      <c r="A7" s="4" t="s">
        <v>11</v>
      </c>
      <c r="B7" s="4" t="s">
        <v>24</v>
      </c>
      <c r="C7" s="4" t="s">
        <v>969</v>
      </c>
      <c r="D7" s="4" t="s">
        <v>1093</v>
      </c>
      <c r="E7" s="4" t="s">
        <v>970</v>
      </c>
      <c r="F7" s="4" t="s">
        <v>971</v>
      </c>
    </row>
    <row r="8" spans="1:6">
      <c r="A8" s="4" t="s">
        <v>11</v>
      </c>
      <c r="B8" s="4" t="s">
        <v>133</v>
      </c>
      <c r="C8" s="4" t="s">
        <v>968</v>
      </c>
      <c r="D8" s="4" t="s">
        <v>1093</v>
      </c>
      <c r="E8" s="4" t="s">
        <v>389</v>
      </c>
      <c r="F8" s="4"/>
    </row>
    <row r="9" spans="1:6">
      <c r="A9" s="4" t="s">
        <v>11</v>
      </c>
      <c r="B9" s="4" t="s">
        <v>12</v>
      </c>
      <c r="C9" s="4" t="s">
        <v>122</v>
      </c>
      <c r="D9" s="4" t="s">
        <v>1095</v>
      </c>
      <c r="E9" s="4" t="s">
        <v>399</v>
      </c>
      <c r="F9" s="4"/>
    </row>
    <row r="10" spans="1:6">
      <c r="A10" s="4" t="s">
        <v>11</v>
      </c>
      <c r="B10" s="4" t="s">
        <v>12</v>
      </c>
      <c r="C10" s="4" t="s">
        <v>123</v>
      </c>
      <c r="D10" s="4" t="s">
        <v>1095</v>
      </c>
      <c r="E10" s="4" t="s">
        <v>399</v>
      </c>
      <c r="F10" s="4"/>
    </row>
    <row r="11" spans="1:6">
      <c r="A11" s="4" t="s">
        <v>11</v>
      </c>
      <c r="B11" s="4" t="s">
        <v>12</v>
      </c>
      <c r="C11" s="4" t="s">
        <v>986</v>
      </c>
      <c r="D11" s="4" t="s">
        <v>1094</v>
      </c>
      <c r="E11" s="4" t="s">
        <v>975</v>
      </c>
      <c r="F11" s="4"/>
    </row>
    <row r="12" spans="1:6">
      <c r="A12" s="4" t="s">
        <v>7</v>
      </c>
      <c r="B12" s="4" t="s">
        <v>18</v>
      </c>
      <c r="C12" s="4" t="s">
        <v>969</v>
      </c>
      <c r="D12" s="4" t="s">
        <v>1093</v>
      </c>
      <c r="E12" s="4" t="s">
        <v>389</v>
      </c>
      <c r="F12" s="4"/>
    </row>
    <row r="13" spans="1:6">
      <c r="A13" s="4" t="s">
        <v>7</v>
      </c>
      <c r="B13" s="4" t="s">
        <v>18</v>
      </c>
      <c r="C13" s="4" t="s">
        <v>125</v>
      </c>
      <c r="D13" s="4" t="s">
        <v>1095</v>
      </c>
      <c r="E13" s="4" t="s">
        <v>389</v>
      </c>
      <c r="F13" s="4"/>
    </row>
    <row r="14" spans="1:6">
      <c r="A14" s="4" t="s">
        <v>7</v>
      </c>
      <c r="B14" s="4" t="s">
        <v>18</v>
      </c>
      <c r="C14" s="4" t="s">
        <v>397</v>
      </c>
      <c r="D14" s="4" t="s">
        <v>1095</v>
      </c>
      <c r="E14" s="4" t="s">
        <v>972</v>
      </c>
      <c r="F14" s="4"/>
    </row>
    <row r="15" spans="1:6">
      <c r="A15" s="4" t="s">
        <v>7</v>
      </c>
      <c r="B15" s="4" t="s">
        <v>18</v>
      </c>
      <c r="C15" s="4" t="s">
        <v>973</v>
      </c>
      <c r="D15" s="4" t="s">
        <v>1095</v>
      </c>
      <c r="E15" s="4" t="s">
        <v>974</v>
      </c>
      <c r="F15" s="4"/>
    </row>
    <row r="16" spans="1:6">
      <c r="A16" s="4" t="s">
        <v>7</v>
      </c>
      <c r="B16" s="4" t="s">
        <v>18</v>
      </c>
      <c r="C16" s="4" t="s">
        <v>973</v>
      </c>
      <c r="D16" s="4" t="s">
        <v>1095</v>
      </c>
      <c r="E16" s="4" t="s">
        <v>972</v>
      </c>
      <c r="F16" s="4"/>
    </row>
    <row r="17" spans="1:6">
      <c r="A17" s="4" t="s">
        <v>7</v>
      </c>
      <c r="B17" s="4" t="s">
        <v>15</v>
      </c>
      <c r="C17" s="4" t="s">
        <v>969</v>
      </c>
      <c r="D17" s="4" t="s">
        <v>1093</v>
      </c>
      <c r="E17" s="4" t="s">
        <v>389</v>
      </c>
      <c r="F17" s="4"/>
    </row>
    <row r="18" spans="1:6">
      <c r="A18" s="4" t="s">
        <v>7</v>
      </c>
      <c r="B18" s="4" t="s">
        <v>15</v>
      </c>
      <c r="C18" s="4" t="s">
        <v>125</v>
      </c>
      <c r="D18" s="4" t="s">
        <v>1095</v>
      </c>
      <c r="E18" s="4" t="s">
        <v>389</v>
      </c>
      <c r="F18" s="4"/>
    </row>
    <row r="19" spans="1:6">
      <c r="A19" s="4" t="s">
        <v>7</v>
      </c>
      <c r="B19" s="4" t="s">
        <v>15</v>
      </c>
      <c r="C19" s="4" t="s">
        <v>973</v>
      </c>
      <c r="D19" s="4" t="s">
        <v>1095</v>
      </c>
      <c r="E19" s="4" t="s">
        <v>974</v>
      </c>
      <c r="F19" s="4"/>
    </row>
    <row r="20" spans="1:6">
      <c r="A20" s="4" t="s">
        <v>7</v>
      </c>
      <c r="B20" s="4" t="s">
        <v>19</v>
      </c>
      <c r="C20" s="4" t="s">
        <v>969</v>
      </c>
      <c r="D20" s="4" t="s">
        <v>1093</v>
      </c>
      <c r="E20" s="4" t="s">
        <v>389</v>
      </c>
      <c r="F20" s="4"/>
    </row>
    <row r="21" spans="1:6">
      <c r="A21" s="4" t="s">
        <v>7</v>
      </c>
      <c r="B21" s="4" t="s">
        <v>19</v>
      </c>
      <c r="C21" s="4" t="s">
        <v>125</v>
      </c>
      <c r="D21" s="4" t="s">
        <v>1095</v>
      </c>
      <c r="E21" s="4" t="s">
        <v>389</v>
      </c>
      <c r="F21" s="4"/>
    </row>
    <row r="22" spans="1:6">
      <c r="A22" s="4" t="s">
        <v>7</v>
      </c>
      <c r="B22" s="4" t="s">
        <v>19</v>
      </c>
      <c r="C22" s="4" t="s">
        <v>973</v>
      </c>
      <c r="D22" s="4" t="s">
        <v>1095</v>
      </c>
      <c r="E22" s="4" t="s">
        <v>974</v>
      </c>
      <c r="F22" s="4"/>
    </row>
    <row r="23" spans="1:6">
      <c r="A23" s="4" t="s">
        <v>7</v>
      </c>
      <c r="B23" s="4" t="s">
        <v>21</v>
      </c>
      <c r="C23" s="4" t="s">
        <v>390</v>
      </c>
      <c r="D23" s="4" t="s">
        <v>1095</v>
      </c>
      <c r="E23" s="4" t="s">
        <v>389</v>
      </c>
      <c r="F23" s="4"/>
    </row>
    <row r="24" spans="1:6">
      <c r="A24" s="4" t="s">
        <v>7</v>
      </c>
      <c r="B24" s="4" t="s">
        <v>21</v>
      </c>
      <c r="C24" s="4" t="s">
        <v>132</v>
      </c>
      <c r="D24" s="4" t="s">
        <v>1095</v>
      </c>
      <c r="E24" s="4" t="s">
        <v>389</v>
      </c>
      <c r="F24" s="4"/>
    </row>
    <row r="25" spans="1:6">
      <c r="A25" s="4" t="s">
        <v>7</v>
      </c>
      <c r="B25" s="4" t="s">
        <v>21</v>
      </c>
      <c r="C25" s="4" t="s">
        <v>125</v>
      </c>
      <c r="D25" s="4" t="s">
        <v>1095</v>
      </c>
      <c r="E25" s="4" t="s">
        <v>389</v>
      </c>
      <c r="F25" s="4"/>
    </row>
    <row r="26" spans="1:6">
      <c r="A26" s="4" t="s">
        <v>7</v>
      </c>
      <c r="B26" s="4" t="s">
        <v>32</v>
      </c>
      <c r="C26" s="4" t="s">
        <v>132</v>
      </c>
      <c r="D26" s="4" t="s">
        <v>1095</v>
      </c>
      <c r="E26" s="4" t="s">
        <v>408</v>
      </c>
      <c r="F26" s="4"/>
    </row>
    <row r="27" spans="1:6">
      <c r="A27" s="4" t="s">
        <v>7</v>
      </c>
      <c r="B27" s="4" t="s">
        <v>32</v>
      </c>
      <c r="C27" s="4" t="s">
        <v>391</v>
      </c>
      <c r="D27" s="4" t="s">
        <v>1095</v>
      </c>
      <c r="E27" s="4" t="s">
        <v>975</v>
      </c>
      <c r="F27" s="4"/>
    </row>
    <row r="28" spans="1:6">
      <c r="A28" s="4" t="s">
        <v>7</v>
      </c>
      <c r="B28" s="4" t="s">
        <v>32</v>
      </c>
      <c r="C28" s="4" t="s">
        <v>976</v>
      </c>
      <c r="D28" s="4" t="s">
        <v>1093</v>
      </c>
      <c r="E28" s="4" t="s">
        <v>408</v>
      </c>
      <c r="F28" s="4"/>
    </row>
    <row r="29" spans="1:6">
      <c r="A29" s="4" t="s">
        <v>7</v>
      </c>
      <c r="B29" s="4" t="s">
        <v>8</v>
      </c>
      <c r="C29" s="4" t="s">
        <v>125</v>
      </c>
      <c r="D29" s="4" t="s">
        <v>1095</v>
      </c>
      <c r="E29" s="4" t="s">
        <v>389</v>
      </c>
      <c r="F29" s="4"/>
    </row>
    <row r="30" spans="1:6">
      <c r="A30" s="4" t="s">
        <v>7</v>
      </c>
      <c r="B30" s="4" t="s">
        <v>8</v>
      </c>
      <c r="C30" s="4" t="s">
        <v>969</v>
      </c>
      <c r="D30" s="4" t="s">
        <v>1093</v>
      </c>
      <c r="E30" s="4" t="s">
        <v>389</v>
      </c>
      <c r="F30" s="4"/>
    </row>
    <row r="31" spans="1:6">
      <c r="A31" s="4" t="s">
        <v>7</v>
      </c>
      <c r="B31" s="4" t="s">
        <v>8</v>
      </c>
      <c r="C31" s="4" t="s">
        <v>392</v>
      </c>
      <c r="D31" s="4" t="s">
        <v>1094</v>
      </c>
      <c r="E31" s="4" t="s">
        <v>389</v>
      </c>
      <c r="F31" s="4"/>
    </row>
    <row r="32" spans="1:6">
      <c r="A32" s="4" t="s">
        <v>7</v>
      </c>
      <c r="B32" s="4" t="s">
        <v>8</v>
      </c>
      <c r="C32" s="4" t="s">
        <v>977</v>
      </c>
      <c r="D32" s="4" t="s">
        <v>1095</v>
      </c>
      <c r="E32" s="4" t="s">
        <v>974</v>
      </c>
      <c r="F32" s="4"/>
    </row>
    <row r="33" spans="1:6">
      <c r="A33" s="4" t="s">
        <v>7</v>
      </c>
      <c r="B33" s="4" t="s">
        <v>8</v>
      </c>
      <c r="C33" s="4" t="s">
        <v>977</v>
      </c>
      <c r="D33" s="4" t="s">
        <v>1095</v>
      </c>
      <c r="E33" s="4" t="s">
        <v>972</v>
      </c>
      <c r="F33" s="4"/>
    </row>
    <row r="34" spans="1:6">
      <c r="A34" s="4" t="s">
        <v>7</v>
      </c>
      <c r="B34" s="4" t="s">
        <v>8</v>
      </c>
      <c r="C34" s="4" t="s">
        <v>977</v>
      </c>
      <c r="D34" s="4" t="s">
        <v>1095</v>
      </c>
      <c r="E34" s="4" t="s">
        <v>389</v>
      </c>
      <c r="F34" s="4"/>
    </row>
    <row r="35" spans="1:6">
      <c r="A35" s="4" t="s">
        <v>7</v>
      </c>
      <c r="B35" s="4" t="s">
        <v>8</v>
      </c>
      <c r="C35" s="4" t="s">
        <v>390</v>
      </c>
      <c r="D35" s="4" t="s">
        <v>1095</v>
      </c>
      <c r="E35" s="4" t="s">
        <v>975</v>
      </c>
      <c r="F35" s="4"/>
    </row>
    <row r="36" spans="1:6">
      <c r="A36" s="4" t="s">
        <v>7</v>
      </c>
      <c r="B36" s="4" t="s">
        <v>134</v>
      </c>
      <c r="C36" s="4" t="s">
        <v>973</v>
      </c>
      <c r="D36" s="4" t="s">
        <v>1095</v>
      </c>
      <c r="E36" s="4" t="s">
        <v>974</v>
      </c>
      <c r="F36" s="4"/>
    </row>
    <row r="37" spans="1:6">
      <c r="A37" s="4" t="s">
        <v>7</v>
      </c>
      <c r="B37" s="4" t="s">
        <v>134</v>
      </c>
      <c r="C37" s="4" t="s">
        <v>973</v>
      </c>
      <c r="D37" s="4" t="s">
        <v>1095</v>
      </c>
      <c r="E37" s="4" t="s">
        <v>972</v>
      </c>
      <c r="F37" s="4"/>
    </row>
    <row r="38" spans="1:6">
      <c r="A38" s="4" t="s">
        <v>7</v>
      </c>
      <c r="B38" s="4" t="s">
        <v>134</v>
      </c>
      <c r="C38" s="4" t="s">
        <v>397</v>
      </c>
      <c r="D38" s="4" t="s">
        <v>1095</v>
      </c>
      <c r="E38" s="4" t="s">
        <v>972</v>
      </c>
      <c r="F38" s="4"/>
    </row>
    <row r="39" spans="1:6">
      <c r="A39" s="4" t="s">
        <v>7</v>
      </c>
      <c r="B39" s="4" t="s">
        <v>134</v>
      </c>
      <c r="C39" s="4" t="s">
        <v>125</v>
      </c>
      <c r="D39" s="4" t="s">
        <v>1095</v>
      </c>
      <c r="E39" s="4" t="s">
        <v>389</v>
      </c>
      <c r="F39" s="4"/>
    </row>
    <row r="40" spans="1:6">
      <c r="A40" s="4" t="s">
        <v>7</v>
      </c>
      <c r="B40" s="4" t="s">
        <v>25</v>
      </c>
      <c r="C40" s="4" t="s">
        <v>123</v>
      </c>
      <c r="D40" s="4" t="s">
        <v>1095</v>
      </c>
      <c r="E40" s="4" t="s">
        <v>996</v>
      </c>
      <c r="F40" s="4"/>
    </row>
    <row r="41" spans="1:6">
      <c r="A41" s="4" t="s">
        <v>7</v>
      </c>
      <c r="B41" s="4" t="s">
        <v>25</v>
      </c>
      <c r="C41" s="4" t="s">
        <v>125</v>
      </c>
      <c r="D41" s="4" t="s">
        <v>1095</v>
      </c>
      <c r="E41" s="4" t="s">
        <v>389</v>
      </c>
      <c r="F41" s="4"/>
    </row>
    <row r="42" spans="1:6">
      <c r="A42" s="4" t="s">
        <v>7</v>
      </c>
      <c r="B42" s="4" t="s">
        <v>25</v>
      </c>
      <c r="C42" s="4" t="s">
        <v>397</v>
      </c>
      <c r="D42" s="4" t="s">
        <v>1095</v>
      </c>
      <c r="E42" s="4" t="s">
        <v>389</v>
      </c>
      <c r="F42" s="4"/>
    </row>
    <row r="43" spans="1:6">
      <c r="A43" s="4" t="s">
        <v>7</v>
      </c>
      <c r="B43" s="4" t="s">
        <v>25</v>
      </c>
      <c r="C43" s="4" t="s">
        <v>997</v>
      </c>
      <c r="D43" s="4" t="s">
        <v>1095</v>
      </c>
      <c r="E43" s="4" t="s">
        <v>389</v>
      </c>
      <c r="F43" s="4"/>
    </row>
    <row r="44" spans="1:6">
      <c r="A44" s="4" t="s">
        <v>7</v>
      </c>
      <c r="B44" s="4" t="s">
        <v>135</v>
      </c>
      <c r="C44" s="4" t="s">
        <v>969</v>
      </c>
      <c r="D44" s="4" t="s">
        <v>1093</v>
      </c>
      <c r="E44" s="4" t="s">
        <v>389</v>
      </c>
      <c r="F44" s="4"/>
    </row>
    <row r="45" spans="1:6">
      <c r="A45" s="4" t="s">
        <v>7</v>
      </c>
      <c r="B45" s="4" t="s">
        <v>135</v>
      </c>
      <c r="C45" s="4" t="s">
        <v>125</v>
      </c>
      <c r="D45" s="4" t="s">
        <v>1095</v>
      </c>
      <c r="E45" s="4" t="s">
        <v>389</v>
      </c>
      <c r="F45" s="4"/>
    </row>
    <row r="46" spans="1:6">
      <c r="A46" s="4" t="s">
        <v>7</v>
      </c>
      <c r="B46" s="4" t="s">
        <v>135</v>
      </c>
      <c r="C46" s="4" t="s">
        <v>397</v>
      </c>
      <c r="D46" s="4" t="s">
        <v>1095</v>
      </c>
      <c r="E46" s="4" t="s">
        <v>972</v>
      </c>
      <c r="F46" s="4"/>
    </row>
    <row r="47" spans="1:6">
      <c r="A47" s="4" t="s">
        <v>7</v>
      </c>
      <c r="B47" s="4" t="s">
        <v>135</v>
      </c>
      <c r="C47" s="4" t="s">
        <v>390</v>
      </c>
      <c r="D47" s="4" t="s">
        <v>1095</v>
      </c>
      <c r="E47" s="4" t="s">
        <v>972</v>
      </c>
      <c r="F47" s="4"/>
    </row>
    <row r="48" spans="1:6">
      <c r="A48" s="4" t="s">
        <v>10</v>
      </c>
      <c r="B48" s="4" t="s">
        <v>20</v>
      </c>
      <c r="C48" s="4" t="s">
        <v>978</v>
      </c>
      <c r="D48" s="4" t="s">
        <v>1093</v>
      </c>
      <c r="E48" s="4" t="s">
        <v>979</v>
      </c>
      <c r="F48" s="4"/>
    </row>
    <row r="49" spans="1:6">
      <c r="A49" s="4" t="s">
        <v>10</v>
      </c>
      <c r="B49" s="4" t="s">
        <v>20</v>
      </c>
      <c r="C49" s="4" t="s">
        <v>978</v>
      </c>
      <c r="D49" s="4" t="s">
        <v>1093</v>
      </c>
      <c r="E49" s="4" t="s">
        <v>389</v>
      </c>
      <c r="F49" s="4"/>
    </row>
    <row r="50" spans="1:6">
      <c r="A50" s="4" t="s">
        <v>10</v>
      </c>
      <c r="B50" s="4" t="s">
        <v>20</v>
      </c>
      <c r="C50" s="4" t="s">
        <v>129</v>
      </c>
      <c r="D50" s="4" t="s">
        <v>1095</v>
      </c>
      <c r="E50" s="4" t="s">
        <v>128</v>
      </c>
      <c r="F50" s="4"/>
    </row>
    <row r="51" spans="1:6">
      <c r="A51" s="4" t="s">
        <v>10</v>
      </c>
      <c r="B51" s="4" t="s">
        <v>20</v>
      </c>
      <c r="C51" s="4" t="s">
        <v>980</v>
      </c>
      <c r="D51" s="4" t="s">
        <v>1095</v>
      </c>
      <c r="E51" s="4" t="s">
        <v>974</v>
      </c>
      <c r="F51" s="4"/>
    </row>
    <row r="52" spans="1:6">
      <c r="A52" s="4" t="s">
        <v>10</v>
      </c>
      <c r="B52" s="4" t="s">
        <v>20</v>
      </c>
      <c r="C52" s="4" t="s">
        <v>980</v>
      </c>
      <c r="D52" s="4" t="s">
        <v>1095</v>
      </c>
      <c r="E52" s="4" t="s">
        <v>389</v>
      </c>
      <c r="F52" s="4"/>
    </row>
    <row r="53" spans="1:6">
      <c r="A53" s="4" t="s">
        <v>10</v>
      </c>
      <c r="B53" s="4" t="s">
        <v>20</v>
      </c>
      <c r="C53" s="4" t="s">
        <v>123</v>
      </c>
      <c r="D53" s="4" t="s">
        <v>1095</v>
      </c>
      <c r="E53" s="4" t="s">
        <v>981</v>
      </c>
      <c r="F53" s="4"/>
    </row>
    <row r="54" spans="1:6">
      <c r="A54" s="4" t="s">
        <v>10</v>
      </c>
      <c r="B54" s="4" t="s">
        <v>20</v>
      </c>
      <c r="C54" s="4" t="s">
        <v>123</v>
      </c>
      <c r="D54" s="4" t="s">
        <v>1095</v>
      </c>
      <c r="E54" s="4" t="s">
        <v>400</v>
      </c>
      <c r="F54" s="4"/>
    </row>
    <row r="55" spans="1:6">
      <c r="A55" s="4" t="s">
        <v>10</v>
      </c>
      <c r="B55" s="4" t="s">
        <v>31</v>
      </c>
      <c r="C55" s="4" t="s">
        <v>125</v>
      </c>
      <c r="D55" s="4" t="s">
        <v>1095</v>
      </c>
      <c r="E55" s="4" t="s">
        <v>389</v>
      </c>
      <c r="F55" s="4"/>
    </row>
    <row r="56" spans="1:6">
      <c r="A56" s="4" t="s">
        <v>10</v>
      </c>
      <c r="B56" s="4" t="s">
        <v>31</v>
      </c>
      <c r="C56" s="4" t="s">
        <v>123</v>
      </c>
      <c r="D56" s="4" t="s">
        <v>1095</v>
      </c>
      <c r="E56" s="4" t="s">
        <v>975</v>
      </c>
      <c r="F56" s="4"/>
    </row>
    <row r="57" spans="1:6">
      <c r="A57" s="4" t="s">
        <v>10</v>
      </c>
      <c r="B57" s="4" t="s">
        <v>31</v>
      </c>
      <c r="C57" s="4" t="s">
        <v>123</v>
      </c>
      <c r="D57" s="4" t="s">
        <v>1095</v>
      </c>
      <c r="E57" s="4" t="s">
        <v>972</v>
      </c>
      <c r="F57" s="4"/>
    </row>
    <row r="58" spans="1:6">
      <c r="A58" s="4" t="s">
        <v>10</v>
      </c>
      <c r="B58" s="4" t="s">
        <v>31</v>
      </c>
      <c r="C58" s="4" t="s">
        <v>122</v>
      </c>
      <c r="D58" s="4" t="s">
        <v>1095</v>
      </c>
      <c r="E58" s="4" t="s">
        <v>982</v>
      </c>
      <c r="F58" s="4"/>
    </row>
    <row r="59" spans="1:6">
      <c r="A59" s="4" t="s">
        <v>10</v>
      </c>
      <c r="B59" s="4" t="s">
        <v>31</v>
      </c>
      <c r="C59" s="4" t="s">
        <v>122</v>
      </c>
      <c r="D59" s="4" t="s">
        <v>1095</v>
      </c>
      <c r="E59" s="4" t="s">
        <v>983</v>
      </c>
      <c r="F59" s="4"/>
    </row>
    <row r="60" spans="1:6">
      <c r="A60" s="4" t="s">
        <v>10</v>
      </c>
      <c r="B60" s="4" t="s">
        <v>31</v>
      </c>
      <c r="C60" s="4" t="s">
        <v>122</v>
      </c>
      <c r="D60" s="4" t="s">
        <v>1095</v>
      </c>
      <c r="E60" s="4" t="s">
        <v>400</v>
      </c>
      <c r="F60" s="4"/>
    </row>
    <row r="61" spans="1:6">
      <c r="A61" s="4" t="s">
        <v>10</v>
      </c>
      <c r="B61" s="4" t="s">
        <v>17</v>
      </c>
      <c r="C61" s="4" t="s">
        <v>393</v>
      </c>
      <c r="D61" s="4" t="s">
        <v>1094</v>
      </c>
      <c r="E61" s="4" t="s">
        <v>394</v>
      </c>
      <c r="F61" s="4"/>
    </row>
    <row r="62" spans="1:6">
      <c r="A62" s="4" t="s">
        <v>10</v>
      </c>
      <c r="B62" s="4" t="s">
        <v>17</v>
      </c>
      <c r="C62" s="4" t="s">
        <v>122</v>
      </c>
      <c r="D62" s="4" t="s">
        <v>1095</v>
      </c>
      <c r="E62" s="4" t="s">
        <v>389</v>
      </c>
      <c r="F62" s="4"/>
    </row>
    <row r="63" spans="1:6">
      <c r="A63" s="4" t="s">
        <v>10</v>
      </c>
      <c r="B63" s="4" t="s">
        <v>17</v>
      </c>
      <c r="C63" s="4" t="s">
        <v>124</v>
      </c>
      <c r="D63" s="4" t="s">
        <v>1095</v>
      </c>
      <c r="E63" s="4" t="s">
        <v>398</v>
      </c>
      <c r="F63" s="4"/>
    </row>
    <row r="64" spans="1:6">
      <c r="A64" s="4" t="s">
        <v>10</v>
      </c>
      <c r="B64" s="4" t="s">
        <v>17</v>
      </c>
      <c r="C64" s="4" t="s">
        <v>984</v>
      </c>
      <c r="D64" s="4" t="s">
        <v>1095</v>
      </c>
      <c r="E64" s="4" t="s">
        <v>394</v>
      </c>
      <c r="F64" s="4"/>
    </row>
    <row r="65" spans="1:6">
      <c r="A65" s="4" t="s">
        <v>10</v>
      </c>
      <c r="B65" s="4" t="s">
        <v>17</v>
      </c>
      <c r="C65" s="4" t="s">
        <v>395</v>
      </c>
      <c r="D65" s="4" t="s">
        <v>1093</v>
      </c>
      <c r="E65" s="4" t="s">
        <v>970</v>
      </c>
      <c r="F65" s="4" t="s">
        <v>985</v>
      </c>
    </row>
    <row r="66" spans="1:6">
      <c r="A66" s="4" t="s">
        <v>10</v>
      </c>
      <c r="B66" s="4" t="s">
        <v>136</v>
      </c>
      <c r="C66" s="4" t="s">
        <v>122</v>
      </c>
      <c r="D66" s="4" t="s">
        <v>1095</v>
      </c>
      <c r="E66" s="4" t="s">
        <v>389</v>
      </c>
      <c r="F66" s="4"/>
    </row>
    <row r="67" spans="1:6">
      <c r="A67" s="4" t="s">
        <v>10</v>
      </c>
      <c r="B67" s="4" t="s">
        <v>136</v>
      </c>
      <c r="C67" s="4" t="s">
        <v>130</v>
      </c>
      <c r="D67" s="4" t="s">
        <v>1096</v>
      </c>
      <c r="E67" s="4" t="s">
        <v>389</v>
      </c>
      <c r="F67" s="4"/>
    </row>
    <row r="68" spans="1:6">
      <c r="A68" s="4" t="s">
        <v>10</v>
      </c>
      <c r="B68" s="4" t="s">
        <v>29</v>
      </c>
      <c r="C68" s="4" t="s">
        <v>123</v>
      </c>
      <c r="D68" s="4" t="s">
        <v>1095</v>
      </c>
      <c r="E68" s="4" t="s">
        <v>981</v>
      </c>
      <c r="F68" s="4"/>
    </row>
    <row r="69" spans="1:6">
      <c r="A69" s="4" t="s">
        <v>10</v>
      </c>
      <c r="B69" s="4" t="s">
        <v>29</v>
      </c>
      <c r="C69" s="4" t="s">
        <v>127</v>
      </c>
      <c r="D69" s="4" t="s">
        <v>1095</v>
      </c>
      <c r="E69" s="4" t="s">
        <v>972</v>
      </c>
      <c r="F69" s="4"/>
    </row>
    <row r="70" spans="1:6">
      <c r="A70" s="4" t="s">
        <v>10</v>
      </c>
      <c r="B70" s="4" t="s">
        <v>29</v>
      </c>
      <c r="C70" s="4" t="s">
        <v>125</v>
      </c>
      <c r="D70" s="4" t="s">
        <v>1095</v>
      </c>
      <c r="E70" s="4" t="s">
        <v>389</v>
      </c>
      <c r="F70" s="4"/>
    </row>
    <row r="71" spans="1:6">
      <c r="A71" s="4" t="s">
        <v>10</v>
      </c>
      <c r="B71" s="4" t="s">
        <v>29</v>
      </c>
      <c r="C71" s="4" t="s">
        <v>122</v>
      </c>
      <c r="D71" s="4" t="s">
        <v>1095</v>
      </c>
      <c r="E71" s="4" t="s">
        <v>389</v>
      </c>
      <c r="F71" s="4"/>
    </row>
    <row r="72" spans="1:6">
      <c r="A72" s="4" t="s">
        <v>10</v>
      </c>
      <c r="B72" s="4" t="s">
        <v>29</v>
      </c>
      <c r="C72" s="4" t="s">
        <v>390</v>
      </c>
      <c r="D72" s="4" t="s">
        <v>1095</v>
      </c>
      <c r="E72" s="4" t="s">
        <v>400</v>
      </c>
      <c r="F72" s="4"/>
    </row>
    <row r="73" spans="1:6">
      <c r="A73" s="4" t="s">
        <v>10</v>
      </c>
      <c r="B73" s="4" t="s">
        <v>137</v>
      </c>
      <c r="C73" s="4" t="s">
        <v>122</v>
      </c>
      <c r="D73" s="4" t="s">
        <v>1095</v>
      </c>
      <c r="E73" s="4" t="s">
        <v>400</v>
      </c>
      <c r="F73" s="4"/>
    </row>
    <row r="74" spans="1:6">
      <c r="A74" s="4" t="s">
        <v>10</v>
      </c>
      <c r="B74" s="4" t="s">
        <v>137</v>
      </c>
      <c r="C74" s="4" t="s">
        <v>122</v>
      </c>
      <c r="D74" s="4" t="s">
        <v>1095</v>
      </c>
      <c r="E74" s="4" t="s">
        <v>389</v>
      </c>
      <c r="F74" s="4"/>
    </row>
    <row r="75" spans="1:6">
      <c r="A75" s="4" t="s">
        <v>10</v>
      </c>
      <c r="B75" s="4" t="s">
        <v>137</v>
      </c>
      <c r="C75" s="4" t="s">
        <v>129</v>
      </c>
      <c r="D75" s="4" t="s">
        <v>1095</v>
      </c>
      <c r="E75" s="4" t="s">
        <v>128</v>
      </c>
      <c r="F75" s="4"/>
    </row>
    <row r="76" spans="1:6">
      <c r="A76" s="4" t="s">
        <v>10</v>
      </c>
      <c r="B76" s="4" t="s">
        <v>137</v>
      </c>
      <c r="C76" s="4" t="s">
        <v>994</v>
      </c>
      <c r="D76" s="4" t="s">
        <v>1096</v>
      </c>
      <c r="E76" s="4" t="s">
        <v>396</v>
      </c>
      <c r="F76" s="4"/>
    </row>
    <row r="77" spans="1:6">
      <c r="A77" s="4" t="s">
        <v>10</v>
      </c>
      <c r="B77" s="4" t="s">
        <v>137</v>
      </c>
      <c r="C77" s="4" t="s">
        <v>994</v>
      </c>
      <c r="D77" s="4" t="s">
        <v>1096</v>
      </c>
      <c r="E77" s="4" t="s">
        <v>400</v>
      </c>
      <c r="F77" s="4"/>
    </row>
    <row r="78" spans="1:6">
      <c r="A78" s="4" t="s">
        <v>10</v>
      </c>
      <c r="B78" s="4" t="s">
        <v>137</v>
      </c>
      <c r="C78" s="4" t="s">
        <v>995</v>
      </c>
      <c r="D78" s="4" t="s">
        <v>1093</v>
      </c>
      <c r="E78" s="4" t="s">
        <v>981</v>
      </c>
      <c r="F78" s="4"/>
    </row>
    <row r="79" spans="1:6">
      <c r="A79" s="4" t="s">
        <v>10</v>
      </c>
      <c r="B79" s="4" t="s">
        <v>137</v>
      </c>
      <c r="C79" s="4" t="s">
        <v>995</v>
      </c>
      <c r="D79" s="4" t="s">
        <v>1093</v>
      </c>
      <c r="E79" s="4" t="s">
        <v>389</v>
      </c>
      <c r="F79" s="4"/>
    </row>
    <row r="80" spans="1:6">
      <c r="A80" s="4" t="s">
        <v>4</v>
      </c>
      <c r="B80" s="4" t="s">
        <v>5</v>
      </c>
      <c r="C80" s="4" t="s">
        <v>987</v>
      </c>
      <c r="D80" s="4" t="s">
        <v>1094</v>
      </c>
      <c r="E80" s="4" t="s">
        <v>401</v>
      </c>
      <c r="F80" s="4"/>
    </row>
    <row r="81" spans="1:6">
      <c r="A81" s="4" t="s">
        <v>4</v>
      </c>
      <c r="B81" s="4" t="s">
        <v>5</v>
      </c>
      <c r="C81" s="4" t="s">
        <v>987</v>
      </c>
      <c r="D81" s="4" t="s">
        <v>1094</v>
      </c>
      <c r="E81" s="4" t="s">
        <v>389</v>
      </c>
      <c r="F81" s="4"/>
    </row>
    <row r="82" spans="1:6">
      <c r="A82" s="4" t="s">
        <v>27</v>
      </c>
      <c r="B82" s="4" t="s">
        <v>33</v>
      </c>
      <c r="C82" s="4" t="s">
        <v>969</v>
      </c>
      <c r="D82" s="4" t="s">
        <v>1093</v>
      </c>
      <c r="E82" s="4" t="s">
        <v>389</v>
      </c>
      <c r="F82" s="4"/>
    </row>
    <row r="83" spans="1:6">
      <c r="A83" s="4" t="s">
        <v>27</v>
      </c>
      <c r="B83" s="4" t="s">
        <v>33</v>
      </c>
      <c r="C83" s="4" t="s">
        <v>125</v>
      </c>
      <c r="D83" s="4" t="s">
        <v>1095</v>
      </c>
      <c r="E83" s="4" t="s">
        <v>389</v>
      </c>
      <c r="F83" s="4"/>
    </row>
    <row r="84" spans="1:6">
      <c r="A84" s="4" t="s">
        <v>27</v>
      </c>
      <c r="B84" s="4" t="s">
        <v>33</v>
      </c>
      <c r="C84" s="4" t="s">
        <v>397</v>
      </c>
      <c r="D84" s="4" t="s">
        <v>1095</v>
      </c>
      <c r="E84" s="4" t="s">
        <v>389</v>
      </c>
      <c r="F84" s="4"/>
    </row>
    <row r="85" spans="1:6">
      <c r="A85" s="4" t="s">
        <v>27</v>
      </c>
      <c r="B85" s="4" t="s">
        <v>28</v>
      </c>
      <c r="C85" s="4" t="s">
        <v>125</v>
      </c>
      <c r="D85" s="4" t="s">
        <v>1095</v>
      </c>
      <c r="E85" s="4" t="s">
        <v>389</v>
      </c>
      <c r="F85" s="4"/>
    </row>
    <row r="86" spans="1:6">
      <c r="A86" s="4" t="s">
        <v>27</v>
      </c>
      <c r="B86" s="4" t="s">
        <v>28</v>
      </c>
      <c r="C86" s="4" t="s">
        <v>131</v>
      </c>
      <c r="D86" s="4" t="s">
        <v>1095</v>
      </c>
      <c r="E86" s="4" t="s">
        <v>982</v>
      </c>
      <c r="F86" s="4"/>
    </row>
    <row r="87" spans="1:6">
      <c r="A87" s="4" t="s">
        <v>27</v>
      </c>
      <c r="B87" s="4" t="s">
        <v>28</v>
      </c>
      <c r="C87" s="4" t="s">
        <v>968</v>
      </c>
      <c r="D87" s="4" t="s">
        <v>1093</v>
      </c>
      <c r="E87" s="4" t="s">
        <v>389</v>
      </c>
      <c r="F87" s="4"/>
    </row>
    <row r="88" spans="1:6">
      <c r="A88" s="4" t="s">
        <v>27</v>
      </c>
      <c r="B88" s="4" t="s">
        <v>28</v>
      </c>
      <c r="C88" s="4" t="s">
        <v>988</v>
      </c>
      <c r="D88" s="4" t="s">
        <v>1095</v>
      </c>
      <c r="E88" s="4" t="s">
        <v>972</v>
      </c>
      <c r="F88" s="4"/>
    </row>
    <row r="89" spans="1:6">
      <c r="A89" s="4" t="s">
        <v>27</v>
      </c>
      <c r="B89" s="4" t="s">
        <v>28</v>
      </c>
      <c r="C89" s="4" t="s">
        <v>989</v>
      </c>
      <c r="D89" s="4" t="s">
        <v>1096</v>
      </c>
      <c r="E89" s="4" t="s">
        <v>990</v>
      </c>
      <c r="F89" s="4"/>
    </row>
    <row r="90" spans="1:6">
      <c r="A90" s="4" t="s">
        <v>27</v>
      </c>
      <c r="B90" s="4" t="s">
        <v>139</v>
      </c>
      <c r="C90" s="4" t="s">
        <v>969</v>
      </c>
      <c r="D90" s="4" t="s">
        <v>1093</v>
      </c>
      <c r="E90" s="4" t="s">
        <v>389</v>
      </c>
      <c r="F90" s="4"/>
    </row>
    <row r="91" spans="1:6">
      <c r="A91" s="4" t="s">
        <v>27</v>
      </c>
      <c r="B91" s="4" t="s">
        <v>139</v>
      </c>
      <c r="C91" s="4" t="s">
        <v>1097</v>
      </c>
      <c r="D91" s="4" t="s">
        <v>1096</v>
      </c>
      <c r="E91" s="4" t="s">
        <v>389</v>
      </c>
      <c r="F91" s="4"/>
    </row>
    <row r="92" spans="1:6">
      <c r="A92" s="4" t="s">
        <v>27</v>
      </c>
      <c r="B92" s="4" t="s">
        <v>139</v>
      </c>
      <c r="C92" s="4" t="s">
        <v>125</v>
      </c>
      <c r="D92" s="4" t="s">
        <v>1095</v>
      </c>
      <c r="E92" s="4" t="s">
        <v>389</v>
      </c>
      <c r="F92" s="4"/>
    </row>
    <row r="93" spans="1:6">
      <c r="A93" s="4" t="s">
        <v>27</v>
      </c>
      <c r="B93" s="4" t="s">
        <v>139</v>
      </c>
      <c r="C93" s="4" t="s">
        <v>127</v>
      </c>
      <c r="D93" s="4" t="s">
        <v>1095</v>
      </c>
      <c r="E93" s="4" t="s">
        <v>389</v>
      </c>
      <c r="F93" s="4"/>
    </row>
    <row r="94" spans="1:6">
      <c r="A94" s="4" t="s">
        <v>2</v>
      </c>
      <c r="B94" s="4" t="s">
        <v>36</v>
      </c>
      <c r="C94" s="4" t="s">
        <v>969</v>
      </c>
      <c r="D94" s="4" t="s">
        <v>1093</v>
      </c>
      <c r="E94" s="4" t="s">
        <v>389</v>
      </c>
      <c r="F94" s="4"/>
    </row>
    <row r="95" spans="1:6">
      <c r="A95" s="4" t="s">
        <v>2</v>
      </c>
      <c r="B95" s="4" t="s">
        <v>36</v>
      </c>
      <c r="C95" s="4" t="s">
        <v>126</v>
      </c>
      <c r="D95" s="4" t="s">
        <v>1095</v>
      </c>
      <c r="E95" s="4" t="s">
        <v>972</v>
      </c>
      <c r="F95" s="4"/>
    </row>
    <row r="96" spans="1:6">
      <c r="A96" s="4" t="s">
        <v>2</v>
      </c>
      <c r="B96" s="4" t="s">
        <v>36</v>
      </c>
      <c r="C96" s="4" t="s">
        <v>126</v>
      </c>
      <c r="D96" s="4" t="s">
        <v>1095</v>
      </c>
      <c r="E96" s="4" t="s">
        <v>389</v>
      </c>
      <c r="F96" s="4"/>
    </row>
    <row r="97" spans="1:6">
      <c r="A97" s="4" t="s">
        <v>2</v>
      </c>
      <c r="B97" s="4" t="s">
        <v>36</v>
      </c>
      <c r="C97" s="4" t="s">
        <v>1098</v>
      </c>
      <c r="D97" s="4" t="s">
        <v>1094</v>
      </c>
      <c r="E97" s="4" t="s">
        <v>389</v>
      </c>
      <c r="F97" s="4"/>
    </row>
    <row r="98" spans="1:6">
      <c r="A98" s="4" t="s">
        <v>2</v>
      </c>
      <c r="B98" s="4" t="s">
        <v>3</v>
      </c>
      <c r="C98" s="4" t="s">
        <v>122</v>
      </c>
      <c r="D98" s="4" t="s">
        <v>1095</v>
      </c>
      <c r="E98" s="4" t="s">
        <v>389</v>
      </c>
      <c r="F98" s="4"/>
    </row>
    <row r="99" spans="1:6">
      <c r="A99" s="4" t="s">
        <v>2</v>
      </c>
      <c r="B99" s="4" t="s">
        <v>3</v>
      </c>
      <c r="C99" s="4" t="s">
        <v>124</v>
      </c>
      <c r="D99" s="4" t="s">
        <v>1095</v>
      </c>
      <c r="E99" s="4" t="s">
        <v>972</v>
      </c>
      <c r="F99" s="4"/>
    </row>
    <row r="100" spans="1:6">
      <c r="A100" s="4" t="s">
        <v>2</v>
      </c>
      <c r="B100" s="4" t="s">
        <v>3</v>
      </c>
      <c r="C100" s="4" t="s">
        <v>969</v>
      </c>
      <c r="D100" s="4" t="s">
        <v>1093</v>
      </c>
      <c r="E100" s="4" t="s">
        <v>389</v>
      </c>
      <c r="F100" s="4"/>
    </row>
    <row r="101" spans="1:6">
      <c r="A101" s="4" t="s">
        <v>2</v>
      </c>
      <c r="B101" s="4" t="s">
        <v>3</v>
      </c>
      <c r="C101" s="4" t="s">
        <v>991</v>
      </c>
      <c r="D101" s="4" t="s">
        <v>1096</v>
      </c>
      <c r="E101" s="4" t="s">
        <v>389</v>
      </c>
      <c r="F101" s="4"/>
    </row>
    <row r="102" spans="1:6">
      <c r="A102" s="4" t="s">
        <v>2</v>
      </c>
      <c r="B102" s="4" t="s">
        <v>16</v>
      </c>
      <c r="C102" s="4" t="s">
        <v>125</v>
      </c>
      <c r="D102" s="4" t="s">
        <v>1095</v>
      </c>
      <c r="E102" s="4" t="s">
        <v>389</v>
      </c>
      <c r="F102" s="4"/>
    </row>
    <row r="103" spans="1:6">
      <c r="A103" s="4" t="s">
        <v>2</v>
      </c>
      <c r="B103" s="4" t="s">
        <v>16</v>
      </c>
      <c r="C103" s="4" t="s">
        <v>123</v>
      </c>
      <c r="D103" s="4" t="s">
        <v>1095</v>
      </c>
      <c r="E103" s="4" t="s">
        <v>972</v>
      </c>
      <c r="F103" s="4"/>
    </row>
    <row r="104" spans="1:6">
      <c r="A104" s="4" t="s">
        <v>2</v>
      </c>
      <c r="B104" s="4" t="s">
        <v>16</v>
      </c>
      <c r="C104" s="4" t="s">
        <v>992</v>
      </c>
      <c r="D104" s="4" t="s">
        <v>1095</v>
      </c>
      <c r="E104" s="4" t="s">
        <v>972</v>
      </c>
      <c r="F104" s="4"/>
    </row>
    <row r="105" spans="1:6">
      <c r="A105" s="4" t="s">
        <v>2</v>
      </c>
      <c r="B105" s="4" t="s">
        <v>16</v>
      </c>
      <c r="C105" s="4" t="s">
        <v>969</v>
      </c>
      <c r="D105" s="4" t="s">
        <v>1093</v>
      </c>
      <c r="E105" s="4" t="s">
        <v>389</v>
      </c>
      <c r="F105" s="4"/>
    </row>
    <row r="106" spans="1:6">
      <c r="A106" s="4" t="s">
        <v>2</v>
      </c>
      <c r="B106" s="4" t="s">
        <v>16</v>
      </c>
      <c r="C106" s="4" t="s">
        <v>124</v>
      </c>
      <c r="D106" s="4" t="s">
        <v>1095</v>
      </c>
      <c r="E106" s="4" t="s">
        <v>389</v>
      </c>
      <c r="F106" s="4"/>
    </row>
    <row r="107" spans="1:6">
      <c r="A107" s="4" t="s">
        <v>2</v>
      </c>
      <c r="B107" s="4" t="s">
        <v>99</v>
      </c>
      <c r="C107" s="4" t="s">
        <v>126</v>
      </c>
      <c r="D107" s="4" t="s">
        <v>1095</v>
      </c>
      <c r="E107" s="4" t="s">
        <v>389</v>
      </c>
      <c r="F107" s="4"/>
    </row>
    <row r="108" spans="1:6">
      <c r="A108" s="4" t="s">
        <v>2</v>
      </c>
      <c r="B108" s="4" t="s">
        <v>99</v>
      </c>
      <c r="C108" s="4" t="s">
        <v>122</v>
      </c>
      <c r="D108" s="4" t="s">
        <v>1095</v>
      </c>
      <c r="E108" s="4" t="s">
        <v>389</v>
      </c>
      <c r="F108" s="4"/>
    </row>
    <row r="109" spans="1:6">
      <c r="A109" s="4" t="s">
        <v>2</v>
      </c>
      <c r="B109" s="4" t="s">
        <v>99</v>
      </c>
      <c r="C109" s="4" t="s">
        <v>969</v>
      </c>
      <c r="D109" s="4" t="s">
        <v>1093</v>
      </c>
      <c r="E109" s="4" t="s">
        <v>389</v>
      </c>
      <c r="F109" s="4"/>
    </row>
    <row r="110" spans="1:6">
      <c r="A110" s="4" t="s">
        <v>2</v>
      </c>
      <c r="B110" s="4" t="s">
        <v>35</v>
      </c>
      <c r="C110" s="4" t="s">
        <v>968</v>
      </c>
      <c r="D110" s="4" t="s">
        <v>1093</v>
      </c>
      <c r="E110" s="4" t="s">
        <v>389</v>
      </c>
      <c r="F110" s="4"/>
    </row>
    <row r="111" spans="1:6">
      <c r="A111" s="4" t="s">
        <v>2</v>
      </c>
      <c r="B111" s="4" t="s">
        <v>35</v>
      </c>
      <c r="C111" s="4" t="s">
        <v>397</v>
      </c>
      <c r="D111" s="4" t="s">
        <v>1095</v>
      </c>
      <c r="E111" s="4" t="s">
        <v>970</v>
      </c>
      <c r="F111" s="4" t="s">
        <v>993</v>
      </c>
    </row>
    <row r="112" spans="1:6">
      <c r="A112" s="4" t="s">
        <v>2</v>
      </c>
      <c r="B112" s="4" t="s">
        <v>35</v>
      </c>
      <c r="C112" s="4" t="s">
        <v>123</v>
      </c>
      <c r="D112" s="4" t="s">
        <v>1095</v>
      </c>
      <c r="E112" s="4" t="s">
        <v>389</v>
      </c>
      <c r="F112" s="4"/>
    </row>
    <row r="113" spans="1:6">
      <c r="A113" s="4" t="s">
        <v>2</v>
      </c>
      <c r="B113" s="4" t="s">
        <v>35</v>
      </c>
      <c r="C113" s="4" t="s">
        <v>125</v>
      </c>
      <c r="D113" s="4" t="s">
        <v>1095</v>
      </c>
      <c r="E113" s="4" t="s">
        <v>389</v>
      </c>
      <c r="F113" s="4"/>
    </row>
    <row r="114" spans="1:6">
      <c r="A114" s="4" t="s">
        <v>2</v>
      </c>
      <c r="B114" s="4" t="s">
        <v>35</v>
      </c>
      <c r="C114" s="4" t="s">
        <v>131</v>
      </c>
      <c r="D114" s="4" t="s">
        <v>1095</v>
      </c>
      <c r="E114" s="4" t="s">
        <v>400</v>
      </c>
      <c r="F114" s="4"/>
    </row>
    <row r="115" spans="1:6">
      <c r="A115" s="4" t="s">
        <v>2</v>
      </c>
      <c r="B115" s="4" t="s">
        <v>410</v>
      </c>
      <c r="C115" s="4" t="s">
        <v>968</v>
      </c>
      <c r="D115" s="4" t="s">
        <v>1093</v>
      </c>
      <c r="E115" s="4" t="s">
        <v>389</v>
      </c>
      <c r="F115" s="4"/>
    </row>
    <row r="116" spans="1:6">
      <c r="A116" s="4" t="s">
        <v>2</v>
      </c>
      <c r="B116" s="4" t="s">
        <v>410</v>
      </c>
      <c r="C116" s="4" t="s">
        <v>122</v>
      </c>
      <c r="D116" s="4" t="s">
        <v>1095</v>
      </c>
      <c r="E116" s="4" t="s">
        <v>982</v>
      </c>
      <c r="F116" s="4"/>
    </row>
    <row r="117" spans="1:6">
      <c r="A117" s="4" t="s">
        <v>2</v>
      </c>
      <c r="B117" s="4" t="s">
        <v>410</v>
      </c>
      <c r="C117" s="4" t="s">
        <v>122</v>
      </c>
      <c r="D117" s="4" t="s">
        <v>1095</v>
      </c>
      <c r="E117" s="4" t="s">
        <v>983</v>
      </c>
      <c r="F117" s="4"/>
    </row>
    <row r="118" spans="1:6">
      <c r="A118" s="4" t="s">
        <v>2</v>
      </c>
      <c r="B118" s="4" t="s">
        <v>410</v>
      </c>
      <c r="C118" s="4" t="s">
        <v>1098</v>
      </c>
      <c r="D118" s="4" t="s">
        <v>1094</v>
      </c>
      <c r="E118" s="4" t="s">
        <v>979</v>
      </c>
      <c r="F118" s="4"/>
    </row>
  </sheetData>
  <autoFilter ref="A1:F118">
    <sortState ref="A2:F118">
      <sortCondition ref="A1:A118"/>
    </sortState>
  </autoFilter>
  <conditionalFormatting sqref="A2:F118">
    <cfRule type="expression" dxfId="4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Dashboard</vt:lpstr>
      <vt:lpstr>Demographic</vt:lpstr>
      <vt:lpstr>Displacement Trends</vt:lpstr>
      <vt:lpstr>Return Trends</vt:lpstr>
      <vt:lpstr>Settlement_totals</vt:lpstr>
      <vt:lpstr>Locations</vt:lpstr>
      <vt:lpstr>Displacement_Periods</vt:lpstr>
      <vt:lpstr>Displacement_Reasons (IDPs_Ref)</vt:lpstr>
      <vt:lpstr>Organizations</vt:lpstr>
      <vt:lpstr>Total_data</vt:lpstr>
      <vt:lpstr>Dashboard!b2f_sommaire_1</vt:lpstr>
      <vt:lpstr>Total_data!departs_avril2016</vt:lpstr>
      <vt:lpstr>Total_data!departs_avril2016_1</vt:lpstr>
      <vt:lpstr>Displacement_Periods!idp_ref_ret_avril2016</vt:lpstr>
      <vt:lpstr>Total_data!idp_ref_ret_avril2016</vt:lpstr>
      <vt:lpstr>Organizations!organisations_presentes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ahabdi</cp:lastModifiedBy>
  <dcterms:created xsi:type="dcterms:W3CDTF">2015-11-24T08:13:04Z</dcterms:created>
  <dcterms:modified xsi:type="dcterms:W3CDTF">2016-05-05T08:29:17Z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f458a71b-4611-4212-b860-2d3abb67356e</vt:lpwstr>
  </property>
</Properties>
</file>