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DATASET'!$A$4:$AX$444</definedName>
  </definedNames>
  <calcPr calcId="145621"/>
</workbook>
</file>

<file path=xl/calcChain.xml><?xml version="1.0" encoding="utf-8"?>
<calcChain xmlns="http://schemas.openxmlformats.org/spreadsheetml/2006/main">
  <c r="AV5" i="1" l="1"/>
  <c r="AW5" i="1"/>
  <c r="AX5" i="1"/>
  <c r="AV6" i="1"/>
  <c r="AW6" i="1"/>
  <c r="AX6" i="1"/>
  <c r="AV7" i="1"/>
  <c r="AW7" i="1"/>
  <c r="AX7" i="1"/>
  <c r="AV8" i="1"/>
  <c r="AW8" i="1"/>
  <c r="AX8" i="1"/>
  <c r="AV9" i="1"/>
  <c r="AW9" i="1"/>
  <c r="AX9" i="1"/>
  <c r="AV10" i="1"/>
  <c r="AW10" i="1"/>
  <c r="AX10" i="1"/>
  <c r="AV11" i="1"/>
  <c r="AW11" i="1"/>
  <c r="AX11" i="1"/>
  <c r="AV12" i="1"/>
  <c r="AW12" i="1"/>
  <c r="AX12" i="1"/>
  <c r="AV13" i="1"/>
  <c r="AW13" i="1"/>
  <c r="AX13" i="1"/>
  <c r="AV14" i="1"/>
  <c r="AW14" i="1"/>
  <c r="AX14" i="1"/>
  <c r="AV15" i="1"/>
  <c r="AW15" i="1"/>
  <c r="AX15" i="1"/>
  <c r="AV16" i="1"/>
  <c r="AW16" i="1"/>
  <c r="AX16" i="1"/>
  <c r="AV17" i="1"/>
  <c r="AW17" i="1"/>
  <c r="AX17" i="1"/>
  <c r="AV18" i="1"/>
  <c r="AW18" i="1"/>
  <c r="AX18" i="1"/>
  <c r="AV19" i="1"/>
  <c r="AW19" i="1"/>
  <c r="AX19" i="1"/>
  <c r="AV20" i="1"/>
  <c r="AW20" i="1"/>
  <c r="AX20" i="1"/>
  <c r="AV21" i="1"/>
  <c r="AW21" i="1"/>
  <c r="AX21" i="1"/>
  <c r="AV22" i="1"/>
  <c r="AW22" i="1"/>
  <c r="AX22" i="1"/>
  <c r="AV23" i="1"/>
  <c r="AW23" i="1"/>
  <c r="AX23" i="1"/>
  <c r="AV24" i="1"/>
  <c r="AW24" i="1"/>
  <c r="AX24" i="1"/>
  <c r="AV25" i="1"/>
  <c r="AW25" i="1"/>
  <c r="AX25" i="1"/>
  <c r="AV26" i="1"/>
  <c r="AW26" i="1"/>
  <c r="AX26" i="1"/>
  <c r="AV27" i="1"/>
  <c r="AW27" i="1"/>
  <c r="AX27" i="1"/>
  <c r="AV28" i="1"/>
  <c r="AW28" i="1"/>
  <c r="AX28" i="1"/>
  <c r="AV29" i="1"/>
  <c r="AW29" i="1"/>
  <c r="AX29" i="1"/>
  <c r="AV30" i="1"/>
  <c r="AW30" i="1"/>
  <c r="AX30" i="1"/>
  <c r="AV31" i="1"/>
  <c r="AW31" i="1"/>
  <c r="AX31" i="1"/>
  <c r="AV32" i="1"/>
  <c r="AW32" i="1"/>
  <c r="AX32" i="1"/>
  <c r="AV33" i="1"/>
  <c r="AW33" i="1"/>
  <c r="AX33" i="1"/>
  <c r="AV34" i="1"/>
  <c r="AW34" i="1"/>
  <c r="AX34" i="1"/>
  <c r="AV35" i="1"/>
  <c r="AW35" i="1"/>
  <c r="AX35" i="1"/>
  <c r="AV36" i="1"/>
  <c r="AW36" i="1"/>
  <c r="AX36" i="1"/>
  <c r="AV37" i="1"/>
  <c r="AW37" i="1"/>
  <c r="AX37" i="1"/>
  <c r="AV38" i="1"/>
  <c r="AW38" i="1"/>
  <c r="AX38" i="1"/>
  <c r="AV39" i="1"/>
  <c r="AW39" i="1"/>
  <c r="AX39" i="1"/>
  <c r="AV40" i="1"/>
  <c r="AW40" i="1"/>
  <c r="AX40" i="1"/>
  <c r="AV41" i="1"/>
  <c r="AW41" i="1"/>
  <c r="AX41" i="1"/>
  <c r="AV42" i="1"/>
  <c r="AW42" i="1"/>
  <c r="AX42" i="1"/>
  <c r="AV43" i="1"/>
  <c r="AW43" i="1"/>
  <c r="AX43" i="1"/>
  <c r="AV44" i="1"/>
  <c r="AW44" i="1"/>
  <c r="AX44" i="1"/>
  <c r="AV45" i="1"/>
  <c r="AW45" i="1"/>
  <c r="AX45" i="1"/>
  <c r="AV46" i="1"/>
  <c r="AW46" i="1"/>
  <c r="AX46" i="1"/>
  <c r="AV47" i="1"/>
  <c r="AW47" i="1"/>
  <c r="AX47" i="1"/>
  <c r="AV48" i="1"/>
  <c r="AW48" i="1"/>
  <c r="AX48" i="1"/>
  <c r="AV49" i="1"/>
  <c r="AW49" i="1"/>
  <c r="AX49" i="1"/>
  <c r="AV50" i="1"/>
  <c r="AW50" i="1"/>
  <c r="AX50" i="1"/>
  <c r="AV51" i="1"/>
  <c r="AW51" i="1"/>
  <c r="AX51" i="1"/>
  <c r="AV52" i="1"/>
  <c r="AW52" i="1"/>
  <c r="AX52" i="1"/>
  <c r="AV53" i="1"/>
  <c r="AW53" i="1"/>
  <c r="AX53" i="1"/>
  <c r="AV54" i="1"/>
  <c r="AW54" i="1"/>
  <c r="AX54" i="1"/>
  <c r="AV55" i="1"/>
  <c r="AW55" i="1"/>
  <c r="AX55" i="1"/>
  <c r="AV56" i="1"/>
  <c r="AW56" i="1"/>
  <c r="AX56" i="1"/>
  <c r="AV57" i="1"/>
  <c r="AW57" i="1"/>
  <c r="AX57" i="1"/>
  <c r="AV58" i="1"/>
  <c r="AW58" i="1"/>
  <c r="AX58" i="1"/>
  <c r="AV59" i="1"/>
  <c r="AW59" i="1"/>
  <c r="AX59" i="1"/>
  <c r="AV60" i="1"/>
  <c r="AW60" i="1"/>
  <c r="AX60" i="1"/>
  <c r="AV61" i="1"/>
  <c r="AW61" i="1"/>
  <c r="AX61" i="1"/>
  <c r="AV62" i="1"/>
  <c r="AW62" i="1"/>
  <c r="AX62" i="1"/>
  <c r="AV63" i="1"/>
  <c r="AW63" i="1"/>
  <c r="AX63" i="1"/>
  <c r="AV64" i="1"/>
  <c r="AW64" i="1"/>
  <c r="AX64" i="1"/>
  <c r="AV65" i="1"/>
  <c r="AW65" i="1"/>
  <c r="AX65" i="1"/>
  <c r="AV66" i="1"/>
  <c r="AW66" i="1"/>
  <c r="AX66" i="1"/>
  <c r="AV67" i="1"/>
  <c r="AW67" i="1"/>
  <c r="AX67" i="1"/>
  <c r="AV68" i="1"/>
  <c r="AW68" i="1"/>
  <c r="AX68" i="1"/>
  <c r="AV69" i="1"/>
  <c r="AW69" i="1"/>
  <c r="AX69" i="1"/>
  <c r="AV70" i="1"/>
  <c r="AW70" i="1"/>
  <c r="AX70" i="1"/>
  <c r="AV71" i="1"/>
  <c r="AW71" i="1"/>
  <c r="AX71" i="1"/>
  <c r="AV72" i="1"/>
  <c r="AW72" i="1"/>
  <c r="AX72" i="1"/>
  <c r="AV73" i="1"/>
  <c r="AW73" i="1"/>
  <c r="AX73" i="1"/>
  <c r="AV74" i="1"/>
  <c r="AW74" i="1"/>
  <c r="AX74" i="1"/>
  <c r="AV75" i="1"/>
  <c r="AW75" i="1"/>
  <c r="AX75" i="1"/>
  <c r="AV76" i="1"/>
  <c r="AW76" i="1"/>
  <c r="AX76" i="1"/>
  <c r="AV77" i="1"/>
  <c r="AW77" i="1"/>
  <c r="AX77" i="1"/>
  <c r="AV78" i="1"/>
  <c r="AW78" i="1"/>
  <c r="AX78" i="1"/>
  <c r="AV79" i="1"/>
  <c r="AW79" i="1"/>
  <c r="AX79" i="1"/>
  <c r="AV80" i="1"/>
  <c r="AW80" i="1"/>
  <c r="AX80" i="1"/>
  <c r="AV81" i="1"/>
  <c r="AW81" i="1"/>
  <c r="AX81" i="1"/>
  <c r="AV82" i="1"/>
  <c r="AW82" i="1"/>
  <c r="AX82" i="1"/>
  <c r="AV83" i="1"/>
  <c r="AW83" i="1"/>
  <c r="AX83" i="1"/>
  <c r="AV84" i="1"/>
  <c r="AW84" i="1"/>
  <c r="AX84" i="1"/>
  <c r="AV85" i="1"/>
  <c r="AW85" i="1"/>
  <c r="AX85" i="1"/>
  <c r="AV86" i="1"/>
  <c r="AW86" i="1"/>
  <c r="AX86" i="1"/>
  <c r="AV87" i="1"/>
  <c r="AW87" i="1"/>
  <c r="AX87" i="1"/>
  <c r="AV88" i="1"/>
  <c r="AW88" i="1"/>
  <c r="AX88" i="1"/>
  <c r="AV89" i="1"/>
  <c r="AW89" i="1"/>
  <c r="AX89" i="1"/>
  <c r="AV90" i="1"/>
  <c r="AW90" i="1"/>
  <c r="AX90" i="1"/>
  <c r="AV91" i="1"/>
  <c r="AW91" i="1"/>
  <c r="AX91" i="1"/>
  <c r="AV92" i="1"/>
  <c r="AW92" i="1"/>
  <c r="AX92" i="1"/>
  <c r="AV93" i="1"/>
  <c r="AW93" i="1"/>
  <c r="AX93" i="1"/>
  <c r="AV94" i="1"/>
  <c r="AW94" i="1"/>
  <c r="AX94" i="1"/>
  <c r="AV95" i="1"/>
  <c r="AW95" i="1"/>
  <c r="AX95" i="1"/>
  <c r="AV96" i="1"/>
  <c r="AW96" i="1"/>
  <c r="AX96" i="1"/>
  <c r="AV97" i="1"/>
  <c r="AW97" i="1"/>
  <c r="AX97" i="1"/>
  <c r="AV98" i="1"/>
  <c r="AW98" i="1"/>
  <c r="AX98" i="1"/>
  <c r="AV99" i="1"/>
  <c r="AW99" i="1"/>
  <c r="AX99" i="1"/>
  <c r="AV100" i="1"/>
  <c r="AW100" i="1"/>
  <c r="AX100" i="1"/>
  <c r="AV101" i="1"/>
  <c r="AW101" i="1"/>
  <c r="AX101" i="1"/>
  <c r="AV102" i="1"/>
  <c r="AW102" i="1"/>
  <c r="AX102" i="1"/>
  <c r="AV103" i="1"/>
  <c r="AW103" i="1"/>
  <c r="AX103" i="1"/>
  <c r="AV104" i="1"/>
  <c r="AW104" i="1"/>
  <c r="AX104" i="1"/>
  <c r="AV105" i="1"/>
  <c r="AW105" i="1"/>
  <c r="AX105" i="1"/>
  <c r="AV106" i="1"/>
  <c r="AW106" i="1"/>
  <c r="AX106" i="1"/>
  <c r="AV107" i="1"/>
  <c r="AW107" i="1"/>
  <c r="AX107" i="1"/>
  <c r="AV108" i="1"/>
  <c r="AW108" i="1"/>
  <c r="AX108" i="1"/>
  <c r="AV109" i="1"/>
  <c r="AW109" i="1"/>
  <c r="AX109" i="1"/>
  <c r="AV110" i="1"/>
  <c r="AW110" i="1"/>
  <c r="AX110" i="1"/>
  <c r="AV111" i="1"/>
  <c r="AW111" i="1"/>
  <c r="AX111" i="1"/>
  <c r="AV112" i="1"/>
  <c r="AW112" i="1"/>
  <c r="AX112" i="1"/>
  <c r="AV113" i="1"/>
  <c r="AW113" i="1"/>
  <c r="AX113" i="1"/>
  <c r="AV114" i="1"/>
  <c r="AW114" i="1"/>
  <c r="AX114" i="1"/>
  <c r="AV115" i="1"/>
  <c r="AW115" i="1"/>
  <c r="AX115" i="1"/>
  <c r="AV116" i="1"/>
  <c r="AW116" i="1"/>
  <c r="AX116" i="1"/>
  <c r="AV117" i="1"/>
  <c r="AW117" i="1"/>
  <c r="AX117" i="1"/>
  <c r="AV118" i="1"/>
  <c r="AW118" i="1"/>
  <c r="AX118" i="1"/>
  <c r="AV119" i="1"/>
  <c r="AW119" i="1"/>
  <c r="AX119" i="1"/>
  <c r="AV120" i="1"/>
  <c r="AW120" i="1"/>
  <c r="AX120" i="1"/>
  <c r="AV121" i="1"/>
  <c r="AW121" i="1"/>
  <c r="AX121" i="1"/>
  <c r="AV122" i="1"/>
  <c r="AW122" i="1"/>
  <c r="AX122" i="1"/>
  <c r="AV123" i="1"/>
  <c r="AW123" i="1"/>
  <c r="AX123" i="1"/>
  <c r="AV124" i="1"/>
  <c r="AW124" i="1"/>
  <c r="AX124" i="1"/>
  <c r="AV125" i="1"/>
  <c r="AW125" i="1"/>
  <c r="AX125" i="1"/>
  <c r="AV126" i="1"/>
  <c r="AW126" i="1"/>
  <c r="AX126" i="1"/>
  <c r="AV127" i="1"/>
  <c r="AW127" i="1"/>
  <c r="AX127" i="1"/>
  <c r="AV128" i="1"/>
  <c r="AW128" i="1"/>
  <c r="AX128" i="1"/>
  <c r="AV129" i="1"/>
  <c r="AW129" i="1"/>
  <c r="AX129" i="1"/>
  <c r="AV130" i="1"/>
  <c r="AW130" i="1"/>
  <c r="AX130" i="1"/>
  <c r="AV131" i="1"/>
  <c r="AW131" i="1"/>
  <c r="AX131" i="1"/>
  <c r="AV132" i="1"/>
  <c r="AW132" i="1"/>
  <c r="AX132" i="1"/>
  <c r="AV133" i="1"/>
  <c r="AW133" i="1"/>
  <c r="AX133" i="1"/>
  <c r="AV134" i="1"/>
  <c r="AW134" i="1"/>
  <c r="AX134" i="1"/>
  <c r="AV135" i="1"/>
  <c r="AW135" i="1"/>
  <c r="AX135" i="1"/>
  <c r="AV136" i="1"/>
  <c r="AW136" i="1"/>
  <c r="AX136" i="1"/>
  <c r="AV137" i="1"/>
  <c r="AW137" i="1"/>
  <c r="AX137" i="1"/>
  <c r="AV138" i="1"/>
  <c r="AW138" i="1"/>
  <c r="AX138" i="1"/>
  <c r="AV139" i="1"/>
  <c r="AW139" i="1"/>
  <c r="AX139" i="1"/>
  <c r="AV140" i="1"/>
  <c r="AW140" i="1"/>
  <c r="AX140" i="1"/>
  <c r="AV141" i="1"/>
  <c r="AW141" i="1"/>
  <c r="AX141" i="1"/>
  <c r="AV142" i="1"/>
  <c r="AW142" i="1"/>
  <c r="AX142" i="1"/>
  <c r="AV143" i="1"/>
  <c r="AW143" i="1"/>
  <c r="AX143" i="1"/>
  <c r="AV144" i="1"/>
  <c r="AW144" i="1"/>
  <c r="AX144" i="1"/>
  <c r="AV145" i="1"/>
  <c r="AW145" i="1"/>
  <c r="AX145" i="1"/>
  <c r="AV146" i="1"/>
  <c r="AW146" i="1"/>
  <c r="AX146" i="1"/>
  <c r="AV147" i="1"/>
  <c r="AW147" i="1"/>
  <c r="AX147" i="1"/>
  <c r="AV148" i="1"/>
  <c r="AW148" i="1"/>
  <c r="AX148" i="1"/>
  <c r="AV149" i="1"/>
  <c r="AW149" i="1"/>
  <c r="AX149" i="1"/>
  <c r="AV150" i="1"/>
  <c r="AW150" i="1"/>
  <c r="AX150" i="1"/>
  <c r="AV151" i="1"/>
  <c r="AW151" i="1"/>
  <c r="AX151" i="1"/>
  <c r="AV152" i="1"/>
  <c r="AW152" i="1"/>
  <c r="AX152" i="1"/>
  <c r="AV153" i="1"/>
  <c r="AW153" i="1"/>
  <c r="AX153" i="1"/>
  <c r="AV154" i="1"/>
  <c r="AW154" i="1"/>
  <c r="AX154" i="1"/>
  <c r="AV155" i="1"/>
  <c r="AW155" i="1"/>
  <c r="AX155" i="1"/>
  <c r="AV156" i="1"/>
  <c r="AW156" i="1"/>
  <c r="AX156" i="1"/>
  <c r="AV157" i="1"/>
  <c r="AW157" i="1"/>
  <c r="AX157" i="1"/>
  <c r="AV158" i="1"/>
  <c r="AW158" i="1"/>
  <c r="AX158" i="1"/>
  <c r="AV159" i="1"/>
  <c r="AW159" i="1"/>
  <c r="AX159" i="1"/>
  <c r="AV160" i="1"/>
  <c r="AW160" i="1"/>
  <c r="AX160" i="1"/>
  <c r="AV161" i="1"/>
  <c r="AW161" i="1"/>
  <c r="AX161" i="1"/>
  <c r="AV162" i="1"/>
  <c r="AW162" i="1"/>
  <c r="AX162" i="1"/>
  <c r="AV163" i="1"/>
  <c r="AW163" i="1"/>
  <c r="AX163" i="1"/>
  <c r="AV164" i="1"/>
  <c r="AW164" i="1"/>
  <c r="AX164" i="1"/>
  <c r="AV165" i="1"/>
  <c r="AW165" i="1"/>
  <c r="AX165" i="1"/>
  <c r="AV166" i="1"/>
  <c r="AW166" i="1"/>
  <c r="AX166" i="1"/>
  <c r="AV167" i="1"/>
  <c r="AW167" i="1"/>
  <c r="AX167" i="1"/>
  <c r="AV168" i="1"/>
  <c r="AW168" i="1"/>
  <c r="AX168" i="1"/>
  <c r="AV169" i="1"/>
  <c r="AW169" i="1"/>
  <c r="AX169" i="1"/>
  <c r="AV170" i="1"/>
  <c r="AW170" i="1"/>
  <c r="AX170" i="1"/>
  <c r="AV171" i="1"/>
  <c r="AW171" i="1"/>
  <c r="AX171" i="1"/>
  <c r="AV172" i="1"/>
  <c r="AW172" i="1"/>
  <c r="AX172" i="1"/>
  <c r="AV173" i="1"/>
  <c r="AW173" i="1"/>
  <c r="AX173" i="1"/>
  <c r="AV174" i="1"/>
  <c r="AW174" i="1"/>
  <c r="AX174" i="1"/>
  <c r="AV175" i="1"/>
  <c r="AW175" i="1"/>
  <c r="AX175" i="1"/>
  <c r="AV176" i="1"/>
  <c r="AW176" i="1"/>
  <c r="AX176" i="1"/>
  <c r="AV177" i="1"/>
  <c r="AW177" i="1"/>
  <c r="AX177" i="1"/>
  <c r="AV178" i="1"/>
  <c r="AW178" i="1"/>
  <c r="AX178" i="1"/>
  <c r="AV179" i="1"/>
  <c r="AW179" i="1"/>
  <c r="AX179" i="1"/>
  <c r="AV180" i="1"/>
  <c r="AW180" i="1"/>
  <c r="AX180" i="1"/>
  <c r="AV181" i="1"/>
  <c r="AW181" i="1"/>
  <c r="AX181" i="1"/>
  <c r="AV182" i="1"/>
  <c r="AW182" i="1"/>
  <c r="AX182" i="1"/>
  <c r="AV183" i="1"/>
  <c r="AW183" i="1"/>
  <c r="AX183" i="1"/>
  <c r="AV184" i="1"/>
  <c r="AW184" i="1"/>
  <c r="AX184" i="1"/>
  <c r="AV185" i="1"/>
  <c r="AW185" i="1"/>
  <c r="AX185" i="1"/>
  <c r="AV186" i="1"/>
  <c r="AW186" i="1"/>
  <c r="AX186" i="1"/>
  <c r="AV187" i="1"/>
  <c r="AW187" i="1"/>
  <c r="AX187" i="1"/>
  <c r="AV188" i="1"/>
  <c r="AW188" i="1"/>
  <c r="AX188" i="1"/>
  <c r="AV189" i="1"/>
  <c r="AW189" i="1"/>
  <c r="AX189" i="1"/>
  <c r="AV190" i="1"/>
  <c r="AW190" i="1"/>
  <c r="AX190" i="1"/>
  <c r="AV191" i="1"/>
  <c r="AW191" i="1"/>
  <c r="AX191" i="1"/>
  <c r="AV192" i="1"/>
  <c r="AW192" i="1"/>
  <c r="AX192" i="1"/>
  <c r="AV193" i="1"/>
  <c r="AW193" i="1"/>
  <c r="AX193" i="1"/>
  <c r="AV194" i="1"/>
  <c r="AW194" i="1"/>
  <c r="AX194" i="1"/>
  <c r="AV195" i="1"/>
  <c r="AW195" i="1"/>
  <c r="AX195" i="1"/>
  <c r="AV196" i="1"/>
  <c r="AW196" i="1"/>
  <c r="AX196" i="1"/>
  <c r="AV197" i="1"/>
  <c r="AW197" i="1"/>
  <c r="AX197" i="1"/>
  <c r="AV198" i="1"/>
  <c r="AW198" i="1"/>
  <c r="AX198" i="1"/>
  <c r="AV199" i="1"/>
  <c r="AW199" i="1"/>
  <c r="AX199" i="1"/>
  <c r="AV200" i="1"/>
  <c r="AW200" i="1"/>
  <c r="AX200" i="1"/>
  <c r="AV201" i="1"/>
  <c r="AW201" i="1"/>
  <c r="AX201" i="1"/>
  <c r="AV202" i="1"/>
  <c r="AW202" i="1"/>
  <c r="AX202" i="1"/>
  <c r="AV203" i="1"/>
  <c r="AW203" i="1"/>
  <c r="AX203" i="1"/>
  <c r="AV204" i="1"/>
  <c r="AW204" i="1"/>
  <c r="AX204" i="1"/>
  <c r="AV205" i="1"/>
  <c r="AW205" i="1"/>
  <c r="AX205" i="1"/>
  <c r="AV206" i="1"/>
  <c r="AW206" i="1"/>
  <c r="AX206" i="1"/>
  <c r="AV207" i="1"/>
  <c r="AW207" i="1"/>
  <c r="AX207" i="1"/>
  <c r="AV208" i="1"/>
  <c r="AW208" i="1"/>
  <c r="AX208" i="1"/>
  <c r="AV209" i="1"/>
  <c r="AW209" i="1"/>
  <c r="AX209" i="1"/>
  <c r="AV210" i="1"/>
  <c r="AW210" i="1"/>
  <c r="AX210" i="1"/>
  <c r="AV211" i="1"/>
  <c r="AW211" i="1"/>
  <c r="AX211" i="1"/>
  <c r="AV212" i="1"/>
  <c r="AW212" i="1"/>
  <c r="AX212" i="1"/>
  <c r="AV213" i="1"/>
  <c r="AW213" i="1"/>
  <c r="AX213" i="1"/>
  <c r="AV214" i="1"/>
  <c r="AW214" i="1"/>
  <c r="AX214" i="1"/>
  <c r="AV215" i="1"/>
  <c r="AW215" i="1"/>
  <c r="AX215" i="1"/>
  <c r="AV216" i="1"/>
  <c r="AW216" i="1"/>
  <c r="AX216" i="1"/>
  <c r="AV217" i="1"/>
  <c r="AW217" i="1"/>
  <c r="AX217" i="1"/>
  <c r="AV218" i="1"/>
  <c r="AW218" i="1"/>
  <c r="AX218" i="1"/>
  <c r="AV219" i="1"/>
  <c r="AW219" i="1"/>
  <c r="AX219" i="1"/>
  <c r="AV220" i="1"/>
  <c r="AW220" i="1"/>
  <c r="AX220" i="1"/>
  <c r="AV221" i="1"/>
  <c r="AW221" i="1"/>
  <c r="AX221" i="1"/>
  <c r="AV222" i="1"/>
  <c r="AW222" i="1"/>
  <c r="AX222" i="1"/>
  <c r="AV223" i="1"/>
  <c r="AW223" i="1"/>
  <c r="AX223" i="1"/>
  <c r="AV224" i="1"/>
  <c r="AW224" i="1"/>
  <c r="AX224" i="1"/>
  <c r="AV225" i="1"/>
  <c r="AW225" i="1"/>
  <c r="AX225" i="1"/>
  <c r="AV226" i="1"/>
  <c r="AW226" i="1"/>
  <c r="AX226" i="1"/>
  <c r="AV227" i="1"/>
  <c r="AW227" i="1"/>
  <c r="AX227" i="1"/>
  <c r="AV228" i="1"/>
  <c r="AW228" i="1"/>
  <c r="AX228" i="1"/>
  <c r="AV229" i="1"/>
  <c r="AW229" i="1"/>
  <c r="AX229" i="1"/>
  <c r="AV230" i="1"/>
  <c r="AW230" i="1"/>
  <c r="AX230" i="1"/>
  <c r="AV231" i="1"/>
  <c r="AW231" i="1"/>
  <c r="AX231" i="1"/>
  <c r="AV232" i="1"/>
  <c r="AW232" i="1"/>
  <c r="AX232" i="1"/>
  <c r="AV233" i="1"/>
  <c r="AW233" i="1"/>
  <c r="AX233" i="1"/>
  <c r="AV234" i="1"/>
  <c r="AW234" i="1"/>
  <c r="AX234" i="1"/>
  <c r="AV235" i="1"/>
  <c r="AW235" i="1"/>
  <c r="AX235" i="1"/>
  <c r="AV236" i="1"/>
  <c r="AW236" i="1"/>
  <c r="AX236" i="1"/>
  <c r="AV237" i="1"/>
  <c r="AW237" i="1"/>
  <c r="AX237" i="1"/>
  <c r="AV238" i="1"/>
  <c r="AW238" i="1"/>
  <c r="AX238" i="1"/>
  <c r="AV239" i="1"/>
  <c r="AW239" i="1"/>
  <c r="AX239" i="1"/>
  <c r="AV240" i="1"/>
  <c r="AW240" i="1"/>
  <c r="AX240" i="1"/>
  <c r="AV241" i="1"/>
  <c r="AW241" i="1"/>
  <c r="AX241" i="1"/>
  <c r="AV242" i="1"/>
  <c r="AW242" i="1"/>
  <c r="AX242" i="1"/>
  <c r="AV243" i="1"/>
  <c r="AW243" i="1"/>
  <c r="AX243" i="1"/>
  <c r="AV244" i="1"/>
  <c r="AW244" i="1"/>
  <c r="AX244" i="1"/>
  <c r="AV245" i="1"/>
  <c r="AW245" i="1"/>
  <c r="AX245" i="1"/>
  <c r="AV246" i="1"/>
  <c r="AW246" i="1"/>
  <c r="AX246" i="1"/>
  <c r="AV247" i="1"/>
  <c r="AW247" i="1"/>
  <c r="AX247" i="1"/>
  <c r="AV248" i="1"/>
  <c r="AW248" i="1"/>
  <c r="AX248" i="1"/>
  <c r="AV249" i="1"/>
  <c r="AW249" i="1"/>
  <c r="AX249" i="1"/>
  <c r="AV250" i="1"/>
  <c r="AW250" i="1"/>
  <c r="AX250" i="1"/>
  <c r="AV251" i="1"/>
  <c r="AW251" i="1"/>
  <c r="AX251" i="1"/>
  <c r="AV252" i="1"/>
  <c r="AW252" i="1"/>
  <c r="AX252" i="1"/>
  <c r="AV253" i="1"/>
  <c r="AW253" i="1"/>
  <c r="AX253" i="1"/>
  <c r="AV254" i="1"/>
  <c r="AW254" i="1"/>
  <c r="AX254" i="1"/>
  <c r="AV255" i="1"/>
  <c r="AW255" i="1"/>
  <c r="AX255" i="1"/>
  <c r="AV256" i="1"/>
  <c r="AW256" i="1"/>
  <c r="AX256" i="1"/>
  <c r="AV257" i="1"/>
  <c r="AW257" i="1"/>
  <c r="AX257" i="1"/>
  <c r="AV258" i="1"/>
  <c r="AW258" i="1"/>
  <c r="AX258" i="1"/>
  <c r="AV259" i="1"/>
  <c r="AW259" i="1"/>
  <c r="AX259" i="1"/>
  <c r="AV260" i="1"/>
  <c r="AW260" i="1"/>
  <c r="AX260" i="1"/>
  <c r="AV261" i="1"/>
  <c r="AW261" i="1"/>
  <c r="AX261" i="1"/>
  <c r="AV262" i="1"/>
  <c r="AW262" i="1"/>
  <c r="AX262" i="1"/>
  <c r="AV263" i="1"/>
  <c r="AW263" i="1"/>
  <c r="AX263" i="1"/>
  <c r="AV264" i="1"/>
  <c r="AW264" i="1"/>
  <c r="AX264" i="1"/>
  <c r="AV265" i="1"/>
  <c r="AW265" i="1"/>
  <c r="AX265" i="1"/>
  <c r="AV266" i="1"/>
  <c r="AW266" i="1"/>
  <c r="AX266" i="1"/>
  <c r="AV267" i="1"/>
  <c r="AW267" i="1"/>
  <c r="AX267" i="1"/>
  <c r="AV268" i="1"/>
  <c r="AW268" i="1"/>
  <c r="AX268" i="1"/>
  <c r="AV269" i="1"/>
  <c r="AW269" i="1"/>
  <c r="AX269" i="1"/>
  <c r="AV270" i="1"/>
  <c r="AW270" i="1"/>
  <c r="AX270" i="1"/>
  <c r="AV271" i="1"/>
  <c r="AW271" i="1"/>
  <c r="AX271" i="1"/>
  <c r="AV272" i="1"/>
  <c r="AW272" i="1"/>
  <c r="AX272" i="1"/>
  <c r="AV273" i="1"/>
  <c r="AW273" i="1"/>
  <c r="AX273" i="1"/>
  <c r="AV274" i="1"/>
  <c r="AW274" i="1"/>
  <c r="AX274" i="1"/>
  <c r="AV275" i="1"/>
  <c r="AW275" i="1"/>
  <c r="AX275" i="1"/>
  <c r="AV276" i="1"/>
  <c r="AW276" i="1"/>
  <c r="AX276" i="1"/>
  <c r="AV277" i="1"/>
  <c r="AW277" i="1"/>
  <c r="AX277" i="1"/>
  <c r="AV278" i="1"/>
  <c r="AW278" i="1"/>
  <c r="AX278" i="1"/>
  <c r="AV279" i="1"/>
  <c r="AW279" i="1"/>
  <c r="AX279" i="1"/>
  <c r="AV280" i="1"/>
  <c r="AW280" i="1"/>
  <c r="AX280" i="1"/>
  <c r="AV281" i="1"/>
  <c r="AW281" i="1"/>
  <c r="AX281" i="1"/>
  <c r="AV282" i="1"/>
  <c r="AW282" i="1"/>
  <c r="AX282" i="1"/>
  <c r="AV283" i="1"/>
  <c r="AW283" i="1"/>
  <c r="AX283" i="1"/>
  <c r="AV284" i="1"/>
  <c r="AW284" i="1"/>
  <c r="AX284" i="1"/>
  <c r="AV285" i="1"/>
  <c r="AW285" i="1"/>
  <c r="AX285" i="1"/>
  <c r="AV286" i="1"/>
  <c r="AW286" i="1"/>
  <c r="AX286" i="1"/>
  <c r="AV287" i="1"/>
  <c r="AW287" i="1"/>
  <c r="AX287" i="1"/>
  <c r="AV288" i="1"/>
  <c r="AW288" i="1"/>
  <c r="AX288" i="1"/>
  <c r="AV289" i="1"/>
  <c r="AW289" i="1"/>
  <c r="AX289" i="1"/>
  <c r="AV290" i="1"/>
  <c r="AW290" i="1"/>
  <c r="AX290" i="1"/>
  <c r="AV291" i="1"/>
  <c r="AW291" i="1"/>
  <c r="AX291" i="1"/>
  <c r="AV292" i="1"/>
  <c r="AW292" i="1"/>
  <c r="AX292" i="1"/>
  <c r="AV293" i="1"/>
  <c r="AW293" i="1"/>
  <c r="AX293" i="1"/>
  <c r="AV294" i="1"/>
  <c r="AW294" i="1"/>
  <c r="AX294" i="1"/>
  <c r="AV295" i="1"/>
  <c r="AW295" i="1"/>
  <c r="AX295" i="1"/>
  <c r="AV296" i="1"/>
  <c r="AW296" i="1"/>
  <c r="AX296" i="1"/>
  <c r="AV297" i="1"/>
  <c r="AW297" i="1"/>
  <c r="AX297" i="1"/>
  <c r="AV298" i="1"/>
  <c r="AW298" i="1"/>
  <c r="AX298" i="1"/>
  <c r="AV299" i="1"/>
  <c r="AW299" i="1"/>
  <c r="AX299" i="1"/>
  <c r="AV300" i="1"/>
  <c r="AW300" i="1"/>
  <c r="AX300" i="1"/>
  <c r="AV301" i="1"/>
  <c r="AW301" i="1"/>
  <c r="AX301" i="1"/>
  <c r="AV302" i="1"/>
  <c r="AW302" i="1"/>
  <c r="AX302" i="1"/>
  <c r="AV303" i="1"/>
  <c r="AW303" i="1"/>
  <c r="AX303" i="1"/>
  <c r="AV304" i="1"/>
  <c r="AW304" i="1"/>
  <c r="AX304" i="1"/>
  <c r="AV305" i="1"/>
  <c r="AW305" i="1"/>
  <c r="AX305" i="1"/>
  <c r="AV306" i="1"/>
  <c r="AW306" i="1"/>
  <c r="AX306" i="1"/>
  <c r="AV307" i="1"/>
  <c r="AW307" i="1"/>
  <c r="AX307" i="1"/>
  <c r="AV308" i="1"/>
  <c r="AW308" i="1"/>
  <c r="AX308" i="1"/>
  <c r="AV309" i="1"/>
  <c r="AW309" i="1"/>
  <c r="AX309" i="1"/>
  <c r="AV310" i="1"/>
  <c r="AW310" i="1"/>
  <c r="AX310" i="1"/>
  <c r="AV311" i="1"/>
  <c r="AW311" i="1"/>
  <c r="AX311" i="1"/>
  <c r="AV312" i="1"/>
  <c r="AW312" i="1"/>
  <c r="AX312" i="1"/>
  <c r="AV313" i="1"/>
  <c r="AW313" i="1"/>
  <c r="AX313" i="1"/>
  <c r="AV314" i="1"/>
  <c r="AW314" i="1"/>
  <c r="AX314" i="1"/>
  <c r="AV315" i="1"/>
  <c r="AW315" i="1"/>
  <c r="AX315" i="1"/>
  <c r="AV316" i="1"/>
  <c r="AW316" i="1"/>
  <c r="AX316" i="1"/>
  <c r="AV317" i="1"/>
  <c r="AW317" i="1"/>
  <c r="AX317" i="1"/>
  <c r="AV318" i="1"/>
  <c r="AW318" i="1"/>
  <c r="AX318" i="1"/>
  <c r="AV319" i="1"/>
  <c r="AW319" i="1"/>
  <c r="AX319" i="1"/>
  <c r="AV320" i="1"/>
  <c r="AW320" i="1"/>
  <c r="AX320" i="1"/>
  <c r="AV321" i="1"/>
  <c r="AW321" i="1"/>
  <c r="AX321" i="1"/>
  <c r="AV322" i="1"/>
  <c r="AW322" i="1"/>
  <c r="AX322" i="1"/>
  <c r="AV323" i="1"/>
  <c r="AW323" i="1"/>
  <c r="AX323" i="1"/>
  <c r="AV324" i="1"/>
  <c r="AW324" i="1"/>
  <c r="AX324" i="1"/>
  <c r="AV325" i="1"/>
  <c r="AW325" i="1"/>
  <c r="AX325" i="1"/>
  <c r="AV326" i="1"/>
  <c r="AW326" i="1"/>
  <c r="AX326" i="1"/>
  <c r="AV327" i="1"/>
  <c r="AW327" i="1"/>
  <c r="AX327" i="1"/>
  <c r="AV328" i="1"/>
  <c r="AW328" i="1"/>
  <c r="AX328" i="1"/>
  <c r="AV329" i="1"/>
  <c r="AW329" i="1"/>
  <c r="AX329" i="1"/>
  <c r="AV330" i="1"/>
  <c r="AW330" i="1"/>
  <c r="AX330" i="1"/>
  <c r="AV331" i="1"/>
  <c r="AW331" i="1"/>
  <c r="AX331" i="1"/>
  <c r="AV332" i="1"/>
  <c r="AW332" i="1"/>
  <c r="AX332" i="1"/>
  <c r="AV333" i="1"/>
  <c r="AW333" i="1"/>
  <c r="AX333" i="1"/>
  <c r="AV334" i="1"/>
  <c r="AW334" i="1"/>
  <c r="AX334" i="1"/>
  <c r="AV335" i="1"/>
  <c r="AW335" i="1"/>
  <c r="AX335" i="1"/>
  <c r="AV336" i="1"/>
  <c r="AW336" i="1"/>
  <c r="AX336" i="1"/>
  <c r="AV337" i="1"/>
  <c r="AW337" i="1"/>
  <c r="AX337" i="1"/>
  <c r="AV338" i="1"/>
  <c r="AW338" i="1"/>
  <c r="AX338" i="1"/>
  <c r="AV339" i="1"/>
  <c r="AW339" i="1"/>
  <c r="AX339" i="1"/>
  <c r="AV340" i="1"/>
  <c r="AW340" i="1"/>
  <c r="AX340" i="1"/>
  <c r="AV341" i="1"/>
  <c r="AW341" i="1"/>
  <c r="AX341" i="1"/>
  <c r="AV342" i="1"/>
  <c r="AW342" i="1"/>
  <c r="AX342" i="1"/>
  <c r="AV343" i="1"/>
  <c r="AW343" i="1"/>
  <c r="AX343" i="1"/>
  <c r="AV344" i="1"/>
  <c r="AW344" i="1"/>
  <c r="AX344" i="1"/>
  <c r="AV345" i="1"/>
  <c r="AW345" i="1"/>
  <c r="AX345" i="1"/>
  <c r="AV346" i="1"/>
  <c r="AW346" i="1"/>
  <c r="AX346" i="1"/>
  <c r="AV347" i="1"/>
  <c r="AW347" i="1"/>
  <c r="AX347" i="1"/>
  <c r="AV348" i="1"/>
  <c r="AW348" i="1"/>
  <c r="AX348" i="1"/>
  <c r="AV349" i="1"/>
  <c r="AW349" i="1"/>
  <c r="AX349" i="1"/>
  <c r="AV350" i="1"/>
  <c r="AW350" i="1"/>
  <c r="AX350" i="1"/>
  <c r="AV351" i="1"/>
  <c r="AW351" i="1"/>
  <c r="AX351" i="1"/>
  <c r="AV352" i="1"/>
  <c r="AW352" i="1"/>
  <c r="AX352" i="1"/>
  <c r="AV353" i="1"/>
  <c r="AW353" i="1"/>
  <c r="AX353" i="1"/>
  <c r="AV354" i="1"/>
  <c r="AW354" i="1"/>
  <c r="AX354" i="1"/>
  <c r="AV355" i="1"/>
  <c r="AW355" i="1"/>
  <c r="AX355" i="1"/>
  <c r="AV356" i="1"/>
  <c r="AW356" i="1"/>
  <c r="AX356" i="1"/>
  <c r="AV357" i="1"/>
  <c r="AW357" i="1"/>
  <c r="AX357" i="1"/>
  <c r="AV358" i="1"/>
  <c r="AW358" i="1"/>
  <c r="AX358" i="1"/>
  <c r="AV359" i="1"/>
  <c r="AW359" i="1"/>
  <c r="AX359" i="1"/>
  <c r="AV360" i="1"/>
  <c r="AW360" i="1"/>
  <c r="AX360" i="1"/>
  <c r="AV361" i="1"/>
  <c r="AW361" i="1"/>
  <c r="AX361" i="1"/>
  <c r="AV362" i="1"/>
  <c r="AW362" i="1"/>
  <c r="AX362" i="1"/>
  <c r="AV363" i="1"/>
  <c r="AW363" i="1"/>
  <c r="AX363" i="1"/>
  <c r="AV364" i="1"/>
  <c r="AW364" i="1"/>
  <c r="AX364" i="1"/>
  <c r="AV365" i="1"/>
  <c r="AW365" i="1"/>
  <c r="AX365" i="1"/>
  <c r="AV366" i="1"/>
  <c r="AW366" i="1"/>
  <c r="AX366" i="1"/>
  <c r="AV367" i="1"/>
  <c r="AW367" i="1"/>
  <c r="AX367" i="1"/>
  <c r="AV368" i="1"/>
  <c r="AW368" i="1"/>
  <c r="AX368" i="1"/>
  <c r="AV369" i="1"/>
  <c r="AW369" i="1"/>
  <c r="AX369" i="1"/>
  <c r="AV370" i="1"/>
  <c r="AW370" i="1"/>
  <c r="AX370" i="1"/>
  <c r="AV371" i="1"/>
  <c r="AW371" i="1"/>
  <c r="AX371" i="1"/>
  <c r="AV372" i="1"/>
  <c r="AW372" i="1"/>
  <c r="AX372" i="1"/>
  <c r="AV373" i="1"/>
  <c r="AW373" i="1"/>
  <c r="AX373" i="1"/>
  <c r="AV374" i="1"/>
  <c r="AW374" i="1"/>
  <c r="AX374" i="1"/>
  <c r="AV375" i="1"/>
  <c r="AW375" i="1"/>
  <c r="AX375" i="1"/>
  <c r="AV376" i="1"/>
  <c r="AW376" i="1"/>
  <c r="AX376" i="1"/>
  <c r="AV377" i="1"/>
  <c r="AW377" i="1"/>
  <c r="AX377" i="1"/>
  <c r="AV378" i="1"/>
  <c r="AW378" i="1"/>
  <c r="AX378" i="1"/>
  <c r="AV379" i="1"/>
  <c r="AW379" i="1"/>
  <c r="AX379" i="1"/>
  <c r="AV380" i="1"/>
  <c r="AW380" i="1"/>
  <c r="AX380" i="1"/>
  <c r="AV381" i="1"/>
  <c r="AW381" i="1"/>
  <c r="AX381" i="1"/>
  <c r="AV382" i="1"/>
  <c r="AW382" i="1"/>
  <c r="AX382" i="1"/>
  <c r="AV383" i="1"/>
  <c r="AW383" i="1"/>
  <c r="AX383" i="1"/>
  <c r="AV384" i="1"/>
  <c r="AW384" i="1"/>
  <c r="AX384" i="1"/>
  <c r="AV385" i="1"/>
  <c r="AW385" i="1"/>
  <c r="AX385" i="1"/>
  <c r="AV386" i="1"/>
  <c r="AW386" i="1"/>
  <c r="AX386" i="1"/>
  <c r="AV387" i="1"/>
  <c r="AW387" i="1"/>
  <c r="AX387" i="1"/>
  <c r="AV388" i="1"/>
  <c r="AW388" i="1"/>
  <c r="AX388" i="1"/>
  <c r="AV389" i="1"/>
  <c r="AW389" i="1"/>
  <c r="AX389" i="1"/>
  <c r="AV390" i="1"/>
  <c r="AW390" i="1"/>
  <c r="AX390" i="1"/>
  <c r="AV391" i="1"/>
  <c r="AW391" i="1"/>
  <c r="AX391" i="1"/>
  <c r="AV392" i="1"/>
  <c r="AW392" i="1"/>
  <c r="AX392" i="1"/>
  <c r="AV393" i="1"/>
  <c r="AW393" i="1"/>
  <c r="AX393" i="1"/>
  <c r="AV394" i="1"/>
  <c r="AW394" i="1"/>
  <c r="AX394" i="1"/>
  <c r="AV395" i="1"/>
  <c r="AW395" i="1"/>
  <c r="AX395" i="1"/>
  <c r="AV396" i="1"/>
  <c r="AW396" i="1"/>
  <c r="AX396" i="1"/>
  <c r="AV397" i="1"/>
  <c r="AW397" i="1"/>
  <c r="AX397" i="1"/>
  <c r="AV398" i="1"/>
  <c r="AW398" i="1"/>
  <c r="AX398" i="1"/>
  <c r="AV399" i="1"/>
  <c r="AW399" i="1"/>
  <c r="AX399" i="1"/>
  <c r="AV400" i="1"/>
  <c r="AW400" i="1"/>
  <c r="AX400" i="1"/>
  <c r="AV401" i="1"/>
  <c r="AW401" i="1"/>
  <c r="AX401" i="1"/>
  <c r="AV402" i="1"/>
  <c r="AW402" i="1"/>
  <c r="AX402" i="1"/>
  <c r="AV403" i="1"/>
  <c r="AW403" i="1"/>
  <c r="AX403" i="1"/>
  <c r="AV404" i="1"/>
  <c r="AW404" i="1"/>
  <c r="AX404" i="1"/>
  <c r="AV405" i="1"/>
  <c r="AW405" i="1"/>
  <c r="AX405" i="1"/>
  <c r="AV406" i="1"/>
  <c r="AW406" i="1"/>
  <c r="AX406" i="1"/>
  <c r="AV407" i="1"/>
  <c r="AW407" i="1"/>
  <c r="AX407" i="1"/>
  <c r="AV408" i="1"/>
  <c r="AW408" i="1"/>
  <c r="AX408" i="1"/>
  <c r="AV409" i="1"/>
  <c r="AW409" i="1"/>
  <c r="AX409" i="1"/>
  <c r="AV410" i="1"/>
  <c r="AW410" i="1"/>
  <c r="AX410" i="1"/>
  <c r="AV411" i="1"/>
  <c r="AW411" i="1"/>
  <c r="AX411" i="1"/>
  <c r="AV412" i="1"/>
  <c r="AW412" i="1"/>
  <c r="AX412" i="1"/>
  <c r="AV413" i="1"/>
  <c r="AW413" i="1"/>
  <c r="AX413" i="1"/>
  <c r="AV414" i="1"/>
  <c r="AW414" i="1"/>
  <c r="AX414" i="1"/>
  <c r="AV415" i="1"/>
  <c r="AW415" i="1"/>
  <c r="AX415" i="1"/>
  <c r="AV416" i="1"/>
  <c r="AW416" i="1"/>
  <c r="AX416" i="1"/>
  <c r="AV417" i="1"/>
  <c r="AW417" i="1"/>
  <c r="AX417" i="1"/>
  <c r="AV418" i="1"/>
  <c r="AW418" i="1"/>
  <c r="AX418" i="1"/>
  <c r="AV419" i="1"/>
  <c r="AW419" i="1"/>
  <c r="AX419" i="1"/>
  <c r="AV420" i="1"/>
  <c r="AW420" i="1"/>
  <c r="AX420" i="1"/>
  <c r="AV421" i="1"/>
  <c r="AW421" i="1"/>
  <c r="AX421" i="1"/>
  <c r="AV422" i="1"/>
  <c r="AW422" i="1"/>
  <c r="AX422" i="1"/>
  <c r="AV423" i="1"/>
  <c r="AW423" i="1"/>
  <c r="AX423" i="1"/>
  <c r="AV424" i="1"/>
  <c r="AW424" i="1"/>
  <c r="AX424" i="1"/>
  <c r="AV425" i="1"/>
  <c r="AW425" i="1"/>
  <c r="AX425" i="1"/>
  <c r="AV426" i="1"/>
  <c r="AW426" i="1"/>
  <c r="AX426" i="1"/>
  <c r="AV427" i="1"/>
  <c r="AW427" i="1"/>
  <c r="AX427" i="1"/>
  <c r="AV428" i="1"/>
  <c r="AW428" i="1"/>
  <c r="AX428" i="1"/>
  <c r="AV429" i="1"/>
  <c r="AW429" i="1"/>
  <c r="AX429" i="1"/>
  <c r="AV430" i="1"/>
  <c r="AW430" i="1"/>
  <c r="AX430" i="1"/>
  <c r="AV431" i="1"/>
  <c r="AW431" i="1"/>
  <c r="AX431" i="1"/>
  <c r="AV432" i="1"/>
  <c r="AW432" i="1"/>
  <c r="AX432" i="1"/>
  <c r="AV433" i="1"/>
  <c r="AW433" i="1"/>
  <c r="AX433" i="1"/>
  <c r="AV434" i="1"/>
  <c r="AW434" i="1"/>
  <c r="AX434" i="1"/>
  <c r="AV435" i="1"/>
  <c r="AW435" i="1"/>
  <c r="AX435" i="1"/>
  <c r="AV436" i="1"/>
  <c r="AW436" i="1"/>
  <c r="AX436" i="1"/>
  <c r="AV437" i="1"/>
  <c r="AW437" i="1"/>
  <c r="AX437" i="1"/>
  <c r="AV438" i="1"/>
  <c r="AW438" i="1"/>
  <c r="AX438" i="1"/>
  <c r="AV439" i="1"/>
  <c r="AW439" i="1"/>
  <c r="AX439" i="1"/>
  <c r="AV440" i="1"/>
  <c r="AW440" i="1"/>
  <c r="AX440" i="1"/>
  <c r="AV441" i="1"/>
  <c r="AW441" i="1"/>
  <c r="AX441" i="1"/>
  <c r="AV442" i="1"/>
  <c r="AW442" i="1"/>
  <c r="AX442" i="1"/>
  <c r="AV443" i="1"/>
  <c r="AW443" i="1"/>
  <c r="AX443" i="1"/>
  <c r="AV444" i="1"/>
  <c r="AW444" i="1"/>
  <c r="AX444" i="1"/>
  <c r="AV445" i="1"/>
  <c r="AW445" i="1"/>
  <c r="AX445" i="1"/>
  <c r="AV446" i="1"/>
  <c r="AW446" i="1"/>
  <c r="AX446" i="1"/>
  <c r="AV447" i="1"/>
  <c r="AW447" i="1"/>
  <c r="AX447" i="1"/>
  <c r="AV448" i="1"/>
  <c r="AW448" i="1"/>
  <c r="AX448" i="1"/>
  <c r="AV449" i="1"/>
  <c r="AW449" i="1"/>
  <c r="AX449" i="1"/>
  <c r="AV450" i="1"/>
  <c r="AW450" i="1"/>
  <c r="AX450" i="1"/>
  <c r="AV451" i="1"/>
  <c r="AW451" i="1"/>
  <c r="AX451" i="1"/>
  <c r="AV452" i="1"/>
  <c r="AW452" i="1"/>
  <c r="AX452" i="1"/>
  <c r="AV453" i="1"/>
  <c r="AW453" i="1"/>
  <c r="AX453" i="1"/>
  <c r="AV454" i="1"/>
  <c r="AW454" i="1"/>
  <c r="AX454" i="1"/>
  <c r="AV455" i="1"/>
  <c r="AW455" i="1"/>
  <c r="AX455" i="1"/>
  <c r="AV456" i="1"/>
  <c r="AW456" i="1"/>
  <c r="AX456" i="1"/>
  <c r="AV457" i="1"/>
  <c r="AW457" i="1"/>
  <c r="AX457" i="1"/>
  <c r="AV458" i="1"/>
  <c r="AW458" i="1"/>
  <c r="AX458" i="1"/>
  <c r="AV459" i="1"/>
  <c r="AW459" i="1"/>
  <c r="AX459" i="1"/>
  <c r="AV460" i="1"/>
  <c r="AW460" i="1"/>
  <c r="AX460" i="1"/>
  <c r="AV461" i="1"/>
  <c r="AW461" i="1"/>
  <c r="AX461" i="1"/>
  <c r="AV462" i="1"/>
  <c r="AW462" i="1"/>
  <c r="AX462" i="1"/>
  <c r="AV463" i="1"/>
  <c r="AW463" i="1"/>
  <c r="AX463" i="1"/>
  <c r="AV464" i="1"/>
  <c r="AW464" i="1"/>
  <c r="AX464" i="1"/>
  <c r="AV465" i="1"/>
  <c r="AW465" i="1"/>
  <c r="AX465" i="1"/>
  <c r="AV466" i="1"/>
  <c r="AW466" i="1"/>
  <c r="AX466" i="1"/>
  <c r="AV467" i="1"/>
  <c r="AW467" i="1"/>
  <c r="AX467" i="1"/>
  <c r="AV468" i="1"/>
  <c r="AW468" i="1"/>
  <c r="AX468" i="1"/>
  <c r="AV469" i="1"/>
  <c r="AW469" i="1"/>
  <c r="AX469" i="1"/>
  <c r="AV470" i="1"/>
  <c r="AW470" i="1"/>
  <c r="AX470" i="1"/>
  <c r="AV471" i="1"/>
  <c r="AW471" i="1"/>
  <c r="AX471" i="1"/>
  <c r="AV472" i="1"/>
  <c r="AW472" i="1"/>
  <c r="AX472" i="1"/>
  <c r="AV473" i="1"/>
  <c r="AW473" i="1"/>
  <c r="AX473" i="1"/>
  <c r="AV474" i="1"/>
  <c r="AW474" i="1"/>
  <c r="AX474" i="1"/>
  <c r="AV475" i="1"/>
  <c r="AW475" i="1"/>
  <c r="AX475" i="1"/>
  <c r="AV476" i="1"/>
  <c r="AW476" i="1"/>
  <c r="AX476" i="1"/>
  <c r="AV477" i="1"/>
  <c r="AW477" i="1"/>
  <c r="AX477" i="1"/>
  <c r="G35" i="2" l="1"/>
  <c r="G36" i="2"/>
  <c r="G37" i="2"/>
  <c r="G38" i="2"/>
  <c r="G39" i="2"/>
  <c r="G40" i="2"/>
  <c r="G34" i="2"/>
  <c r="D7" i="2" l="1"/>
  <c r="E7" i="2" s="1"/>
  <c r="C7" i="2"/>
  <c r="C3" i="2"/>
  <c r="C4" i="2"/>
  <c r="C5" i="2"/>
  <c r="C6" i="2"/>
  <c r="F35" i="2" l="1"/>
  <c r="E35" i="2"/>
  <c r="D35" i="2"/>
  <c r="C35" i="2"/>
  <c r="B35" i="2"/>
  <c r="M24" i="2"/>
  <c r="L24" i="2"/>
  <c r="K24" i="2"/>
  <c r="J24" i="2"/>
  <c r="I24" i="2"/>
  <c r="H24" i="2"/>
  <c r="G24" i="2"/>
  <c r="F24" i="2"/>
  <c r="E24" i="2"/>
  <c r="D24" i="2"/>
  <c r="C24" i="2"/>
  <c r="B24" i="2"/>
  <c r="L13" i="2"/>
  <c r="K13" i="2"/>
  <c r="J13" i="2"/>
  <c r="I13" i="2"/>
  <c r="H13" i="2"/>
  <c r="G13" i="2"/>
  <c r="F13" i="2"/>
  <c r="E13" i="2"/>
  <c r="D13" i="2"/>
  <c r="C13" i="2"/>
  <c r="B13" i="2"/>
  <c r="H35" i="2" l="1"/>
  <c r="N24" i="2"/>
  <c r="M13" i="2"/>
  <c r="F36" i="2"/>
  <c r="F37" i="2"/>
  <c r="F38" i="2"/>
  <c r="F39" i="2"/>
  <c r="F40" i="2"/>
  <c r="E39" i="2"/>
  <c r="E40" i="2"/>
  <c r="E36" i="2"/>
  <c r="E37" i="2"/>
  <c r="E38" i="2"/>
  <c r="D36" i="2"/>
  <c r="D37" i="2"/>
  <c r="D38" i="2"/>
  <c r="D39" i="2"/>
  <c r="D40" i="2"/>
  <c r="C36" i="2"/>
  <c r="C37" i="2"/>
  <c r="C38" i="2"/>
  <c r="C39" i="2"/>
  <c r="C40" i="2"/>
  <c r="B36" i="2"/>
  <c r="B37" i="2"/>
  <c r="B38" i="2"/>
  <c r="B39" i="2"/>
  <c r="B40" i="2"/>
  <c r="F34" i="2"/>
  <c r="E34" i="2"/>
  <c r="D34" i="2"/>
  <c r="C34" i="2"/>
  <c r="B34" i="2"/>
  <c r="M25" i="2"/>
  <c r="M26" i="2"/>
  <c r="M27" i="2"/>
  <c r="M28" i="2"/>
  <c r="M29" i="2"/>
  <c r="L25" i="2"/>
  <c r="L26" i="2"/>
  <c r="L27" i="2"/>
  <c r="L28" i="2"/>
  <c r="L29" i="2"/>
  <c r="K25" i="2"/>
  <c r="K26" i="2"/>
  <c r="K27" i="2"/>
  <c r="K28" i="2"/>
  <c r="K29" i="2"/>
  <c r="J25" i="2"/>
  <c r="J26" i="2"/>
  <c r="J27" i="2"/>
  <c r="J28" i="2"/>
  <c r="J29" i="2"/>
  <c r="I25" i="2"/>
  <c r="I26" i="2"/>
  <c r="I27" i="2"/>
  <c r="I28" i="2"/>
  <c r="I29" i="2"/>
  <c r="H29" i="2"/>
  <c r="H25" i="2"/>
  <c r="H26" i="2"/>
  <c r="H27" i="2"/>
  <c r="H28" i="2"/>
  <c r="G25" i="2"/>
  <c r="G26" i="2"/>
  <c r="G27" i="2"/>
  <c r="G28" i="2"/>
  <c r="G29" i="2"/>
  <c r="E25" i="2"/>
  <c r="E26" i="2"/>
  <c r="E27" i="2"/>
  <c r="E28" i="2"/>
  <c r="E29" i="2"/>
  <c r="F25" i="2"/>
  <c r="F26" i="2"/>
  <c r="F27" i="2"/>
  <c r="F28" i="2"/>
  <c r="F29" i="2"/>
  <c r="D29" i="2"/>
  <c r="D25" i="2"/>
  <c r="D26" i="2"/>
  <c r="D27" i="2"/>
  <c r="D28" i="2"/>
  <c r="C25" i="2"/>
  <c r="C26" i="2"/>
  <c r="C27" i="2"/>
  <c r="C28" i="2"/>
  <c r="C29" i="2"/>
  <c r="B25" i="2"/>
  <c r="B26" i="2"/>
  <c r="B27" i="2"/>
  <c r="B28" i="2"/>
  <c r="B29" i="2"/>
  <c r="M23" i="2"/>
  <c r="L23" i="2"/>
  <c r="K23" i="2"/>
  <c r="J23" i="2"/>
  <c r="I23" i="2"/>
  <c r="H23" i="2"/>
  <c r="G23" i="2"/>
  <c r="F23" i="2"/>
  <c r="E23" i="2"/>
  <c r="D23" i="2"/>
  <c r="C23" i="2"/>
  <c r="B23" i="2"/>
  <c r="H39" i="2" l="1"/>
  <c r="H38" i="2"/>
  <c r="H34" i="2"/>
  <c r="H37" i="2"/>
  <c r="H40" i="2"/>
  <c r="H36" i="2"/>
  <c r="L14" i="2"/>
  <c r="L15" i="2"/>
  <c r="L16" i="2"/>
  <c r="L17" i="2"/>
  <c r="L18" i="2"/>
  <c r="K14" i="2"/>
  <c r="K15" i="2"/>
  <c r="K16" i="2"/>
  <c r="K17" i="2"/>
  <c r="K18" i="2"/>
  <c r="J14" i="2"/>
  <c r="J15" i="2"/>
  <c r="J16" i="2"/>
  <c r="J17" i="2"/>
  <c r="J18" i="2"/>
  <c r="I14" i="2"/>
  <c r="I15" i="2"/>
  <c r="I16" i="2"/>
  <c r="I17" i="2"/>
  <c r="I18" i="2"/>
  <c r="H14" i="2"/>
  <c r="H15" i="2"/>
  <c r="H16" i="2"/>
  <c r="H17" i="2"/>
  <c r="H18" i="2"/>
  <c r="G14" i="2"/>
  <c r="G15" i="2"/>
  <c r="G16" i="2"/>
  <c r="G17" i="2"/>
  <c r="G18" i="2"/>
  <c r="F14" i="2"/>
  <c r="F15" i="2"/>
  <c r="F16" i="2"/>
  <c r="F17" i="2"/>
  <c r="F18" i="2"/>
  <c r="E14" i="2"/>
  <c r="E15" i="2"/>
  <c r="E16" i="2"/>
  <c r="E17" i="2"/>
  <c r="E18" i="2"/>
  <c r="D14" i="2"/>
  <c r="D15" i="2"/>
  <c r="D16" i="2"/>
  <c r="D17" i="2"/>
  <c r="D18" i="2"/>
  <c r="L12" i="2"/>
  <c r="K12" i="2"/>
  <c r="J12" i="2"/>
  <c r="I12" i="2"/>
  <c r="H12" i="2"/>
  <c r="G12" i="2"/>
  <c r="F12" i="2"/>
  <c r="E12" i="2"/>
  <c r="D12" i="2"/>
  <c r="C14" i="2"/>
  <c r="C15" i="2"/>
  <c r="C16" i="2"/>
  <c r="C17" i="2"/>
  <c r="C18" i="2"/>
  <c r="C12" i="2"/>
  <c r="B14" i="2"/>
  <c r="B15" i="2"/>
  <c r="B16" i="2"/>
  <c r="B17" i="2"/>
  <c r="B18" i="2"/>
  <c r="B12" i="2"/>
  <c r="D6" i="2"/>
  <c r="D5" i="2"/>
  <c r="D4" i="2"/>
  <c r="D3" i="2"/>
  <c r="D2" i="2"/>
  <c r="C2" i="2"/>
  <c r="D8" i="2" l="1"/>
  <c r="G41" i="2"/>
  <c r="C41" i="2"/>
  <c r="D41" i="2"/>
  <c r="E41" i="2"/>
  <c r="F41" i="2"/>
  <c r="B41" i="2"/>
  <c r="N25" i="2"/>
  <c r="N26" i="2"/>
  <c r="N27" i="2"/>
  <c r="N28" i="2"/>
  <c r="N29" i="2"/>
  <c r="C30" i="2"/>
  <c r="D30" i="2"/>
  <c r="E30" i="2"/>
  <c r="F30" i="2"/>
  <c r="G30" i="2"/>
  <c r="H30" i="2"/>
  <c r="I30" i="2"/>
  <c r="J30" i="2"/>
  <c r="K30" i="2"/>
  <c r="L30" i="2"/>
  <c r="M30" i="2"/>
  <c r="B30" i="2"/>
  <c r="M14" i="2"/>
  <c r="M15" i="2"/>
  <c r="M16" i="2"/>
  <c r="M17" i="2"/>
  <c r="M18" i="2"/>
  <c r="D19" i="2"/>
  <c r="E19" i="2"/>
  <c r="F19" i="2"/>
  <c r="G19" i="2"/>
  <c r="H19" i="2"/>
  <c r="I19" i="2"/>
  <c r="J19" i="2"/>
  <c r="K19" i="2"/>
  <c r="L19" i="2"/>
  <c r="B19" i="2"/>
  <c r="C19" i="2"/>
  <c r="E2" i="2"/>
  <c r="H41" i="2" l="1"/>
  <c r="N23" i="2"/>
  <c r="M12" i="2"/>
  <c r="M19" i="2" s="1"/>
  <c r="N30" i="2" l="1"/>
  <c r="E6" i="2"/>
  <c r="E5" i="2"/>
  <c r="E4" i="2"/>
  <c r="E3" i="2"/>
  <c r="E8" i="2" l="1"/>
  <c r="F7" i="2" s="1"/>
  <c r="F2" i="2" l="1"/>
  <c r="F3" i="2"/>
  <c r="F4" i="2"/>
  <c r="F6" i="2"/>
  <c r="F5" i="2"/>
  <c r="F8" i="2" l="1"/>
</calcChain>
</file>

<file path=xl/sharedStrings.xml><?xml version="1.0" encoding="utf-8"?>
<sst xmlns="http://schemas.openxmlformats.org/spreadsheetml/2006/main" count="3133" uniqueCount="1221">
  <si>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</si>
  <si>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</si>
  <si>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</si>
  <si>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</si>
  <si>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</si>
  <si>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</si>
  <si>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</si>
  <si>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</si>
  <si>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</si>
  <si>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</si>
  <si>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</si>
  <si>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</si>
  <si>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</si>
  <si>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</si>
  <si>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</si>
  <si>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</si>
  <si>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</si>
  <si>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</si>
  <si>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</si>
  <si>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</si>
  <si>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</si>
  <si>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</si>
  <si>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</si>
  <si>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</si>
  <si>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</si>
  <si>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</si>
  <si>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</si>
  <si>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</si>
  <si>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</si>
  <si>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</si>
  <si>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</si>
  <si>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</si>
  <si>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</si>
  <si>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</si>
  <si>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</si>
  <si>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</si>
  <si>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</si>
  <si>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</si>
  <si>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</si>
  <si>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</si>
  <si>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</si>
  <si>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</si>
  <si>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</si>
  <si>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</si>
  <si>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</si>
  <si>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</si>
  <si>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</si>
  <si>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</si>
  <si>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</si>
  <si>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</si>
  <si>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</si>
  <si>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</si>
  <si>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</si>
  <si>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</si>
  <si>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</si>
  <si>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</si>
  <si>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</si>
  <si>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</si>
  <si>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</si>
  <si>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</si>
  <si>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</si>
  <si>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</si>
  <si>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</si>
  <si>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</si>
  <si>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</si>
  <si>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</si>
  <si>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</si>
  <si>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</si>
  <si>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</si>
  <si>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</si>
  <si>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</si>
  <si>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</si>
  <si>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</si>
  <si>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</si>
  <si>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</si>
  <si>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</si>
  <si>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</si>
  <si>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</si>
  <si>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Falluja</t>
  </si>
  <si>
    <t>Al Mualmeen</t>
  </si>
  <si>
    <t xml:space="preserve">حي المعلمين </t>
  </si>
  <si>
    <t>IQ-G01</t>
  </si>
  <si>
    <t>IQ-D002</t>
  </si>
  <si>
    <t>IQ-P00039</t>
  </si>
  <si>
    <t>Al Shurta</t>
  </si>
  <si>
    <t>حي الشرطة</t>
  </si>
  <si>
    <t>IQ-P00048</t>
  </si>
  <si>
    <t>Al-Akrad</t>
  </si>
  <si>
    <t>حي الاكراد</t>
  </si>
  <si>
    <t>IQ-P00053</t>
  </si>
  <si>
    <t>Al-andalus</t>
  </si>
  <si>
    <t>حي الأندلس</t>
  </si>
  <si>
    <t>IQ-P00054</t>
  </si>
  <si>
    <t>Al-bazara</t>
  </si>
  <si>
    <t>حي البزارة</t>
  </si>
  <si>
    <t>IQ-P00058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</si>
  <si>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</si>
  <si>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</si>
  <si>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</si>
  <si>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</si>
  <si>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</si>
  <si>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</si>
  <si>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</si>
  <si>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حي الوحدة</t>
  </si>
  <si>
    <t>IQ-P00112</t>
  </si>
  <si>
    <t>Hay Al-Resala</t>
  </si>
  <si>
    <t>حي الرسالة</t>
  </si>
  <si>
    <t>IQ-P00144</t>
  </si>
  <si>
    <t>Muallimeen-2</t>
  </si>
  <si>
    <t xml:space="preserve">حي المعلمين الثانية </t>
  </si>
  <si>
    <t>IQ-P00158</t>
  </si>
  <si>
    <t>Nazal</t>
  </si>
  <si>
    <t>حي نزال</t>
  </si>
  <si>
    <t>IQ-P00163</t>
  </si>
  <si>
    <t>Heet</t>
  </si>
  <si>
    <t>Abu Tibban</t>
  </si>
  <si>
    <t>ابوطيبان</t>
  </si>
  <si>
    <t>IQ-D004</t>
  </si>
  <si>
    <t>IQ-P00234</t>
  </si>
  <si>
    <t>Al Shuqaq</t>
  </si>
  <si>
    <t>الشقق</t>
  </si>
  <si>
    <t>IQ-P00248</t>
  </si>
  <si>
    <t>Al-muabdiyat</t>
  </si>
  <si>
    <t>المعبديات</t>
  </si>
  <si>
    <t>IQ-P00258</t>
  </si>
  <si>
    <t>Al-Qalqalah</t>
  </si>
  <si>
    <t xml:space="preserve">القلقة </t>
  </si>
  <si>
    <t>IQ-P00261</t>
  </si>
  <si>
    <t>Basair</t>
  </si>
  <si>
    <t xml:space="preserve">البصائر </t>
  </si>
  <si>
    <t>IQ-P00270</t>
  </si>
  <si>
    <t>Hay Al Farouq</t>
  </si>
  <si>
    <t>حي الفاروق</t>
  </si>
  <si>
    <t>IQ-P00278</t>
  </si>
  <si>
    <t>Hay al Jury</t>
  </si>
  <si>
    <t>الجري</t>
  </si>
  <si>
    <t>IQ-P00281</t>
  </si>
  <si>
    <t>Hay Al Mamoun</t>
  </si>
  <si>
    <t xml:space="preserve">حي المامون </t>
  </si>
  <si>
    <t>IQ-P00283</t>
  </si>
  <si>
    <t>Hay Al-Askari</t>
  </si>
  <si>
    <t>الحي العسكري</t>
  </si>
  <si>
    <t>Hay Al-Jabal</t>
  </si>
  <si>
    <t xml:space="preserve">الجبل </t>
  </si>
  <si>
    <t>IQ-P00289</t>
  </si>
  <si>
    <t>Hay Al-jamyah 2</t>
  </si>
  <si>
    <t>الجمعية الثانية</t>
  </si>
  <si>
    <t>IQ-P00291</t>
  </si>
  <si>
    <t>Hay Al-Khudhir</t>
  </si>
  <si>
    <t>الخضر</t>
  </si>
  <si>
    <t>Hay Al-Qadisiyah</t>
  </si>
  <si>
    <t>القادسية</t>
  </si>
  <si>
    <t>IQ-P00293</t>
  </si>
  <si>
    <t>Hay Al-Sadiq</t>
  </si>
  <si>
    <t>حي الصديق</t>
  </si>
  <si>
    <t>Hay Al-Zuhoor</t>
  </si>
  <si>
    <t>حي الزهور</t>
  </si>
  <si>
    <t>IQ-P00299</t>
  </si>
  <si>
    <t>المصخن</t>
  </si>
  <si>
    <t>IQ-P00319</t>
  </si>
  <si>
    <t>الحي الصناعي</t>
  </si>
  <si>
    <t>IQ-P00307</t>
  </si>
  <si>
    <t>Kubaisa Al-qadimah</t>
  </si>
  <si>
    <t>كبيسة القديمة</t>
  </si>
  <si>
    <t>IQ-P00312</t>
  </si>
  <si>
    <t>Mualmeen</t>
  </si>
  <si>
    <t>المعلمين</t>
  </si>
  <si>
    <t>IQ-P00320</t>
  </si>
  <si>
    <t>The first jamaiya</t>
  </si>
  <si>
    <t>الجمعية الاولى</t>
  </si>
  <si>
    <t>IQ-P00341</t>
  </si>
  <si>
    <t>Ramadi</t>
  </si>
  <si>
    <t>حي 8 شباط</t>
  </si>
  <si>
    <t>IQ-D006</t>
  </si>
  <si>
    <t>Al Khulafaa</t>
  </si>
  <si>
    <t>الخلفاء</t>
  </si>
  <si>
    <t>Al Soora</t>
  </si>
  <si>
    <t>السورة</t>
  </si>
  <si>
    <t>الجمعية</t>
  </si>
  <si>
    <t>IQ-P00452</t>
  </si>
  <si>
    <t>Al-Sadiqiyah</t>
  </si>
  <si>
    <t xml:space="preserve">الصديقية </t>
  </si>
  <si>
    <t>IQ-P00459</t>
  </si>
  <si>
    <t>Al-Shareka</t>
  </si>
  <si>
    <t>الشركة</t>
  </si>
  <si>
    <t>IQ-P00462</t>
  </si>
  <si>
    <t>الشهداء</t>
  </si>
  <si>
    <t>Al-Shuhadaa</t>
  </si>
  <si>
    <t>IQ-P00463</t>
  </si>
  <si>
    <t>البوعلوان</t>
  </si>
  <si>
    <t>Hay Al-Madani</t>
  </si>
  <si>
    <t xml:space="preserve">الحي المدني </t>
  </si>
  <si>
    <t>IQ-P00480</t>
  </si>
  <si>
    <t xml:space="preserve">حصيبة الشرقية </t>
  </si>
  <si>
    <t>IQ-P00487</t>
  </si>
  <si>
    <t>جويبة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</si>
  <si>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</si>
  <si>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</si>
  <si>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</si>
  <si>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</si>
  <si>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</si>
  <si>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</si>
  <si>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</si>
  <si>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Abu Ghraib</t>
  </si>
  <si>
    <t xml:space="preserve">Adel Hrat village </t>
  </si>
  <si>
    <t>قرية عادل هراط</t>
  </si>
  <si>
    <t>IQ-G07</t>
  </si>
  <si>
    <t>IQ-D038</t>
  </si>
  <si>
    <t>قرية البو معيد</t>
  </si>
  <si>
    <t>Al Hamadan village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</si>
  <si>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</si>
  <si>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</si>
  <si>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</si>
  <si>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</si>
  <si>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</si>
  <si>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</si>
  <si>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</si>
  <si>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Al shaneter village</t>
  </si>
  <si>
    <t>Al Zahalya village</t>
  </si>
  <si>
    <t>قرية الزحالية</t>
  </si>
  <si>
    <t xml:space="preserve">Maskor village </t>
  </si>
  <si>
    <t>Yassen Al Mutlk village</t>
  </si>
  <si>
    <t>Kadhimia</t>
  </si>
  <si>
    <t>IQ-D040</t>
  </si>
  <si>
    <t>Sabea Al Buor-14000</t>
  </si>
  <si>
    <t>Sabea Al Buor-4000</t>
  </si>
  <si>
    <t>Sabea Al Buor-5000</t>
  </si>
  <si>
    <t>IQ-P08439</t>
  </si>
  <si>
    <t>Sabea Al Buor-8000</t>
  </si>
  <si>
    <t>IQ-P08438</t>
  </si>
  <si>
    <t>IQ-P08437</t>
  </si>
  <si>
    <t>Mahmoudiya</t>
  </si>
  <si>
    <t>Al Bu Hasson (Al kragolyia)</t>
  </si>
  <si>
    <t>البو حسون (الكرغولية )</t>
  </si>
  <si>
    <t>IQ-D043</t>
  </si>
  <si>
    <t xml:space="preserve">Al bu Khdear village </t>
  </si>
  <si>
    <t xml:space="preserve">قرية البو خضير </t>
  </si>
  <si>
    <t>Al Bu solta (Al kragolyia)</t>
  </si>
  <si>
    <t>البو سلطان (الكرغولية)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</si>
  <si>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</si>
  <si>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</si>
  <si>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</si>
  <si>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</si>
  <si>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</si>
  <si>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</si>
  <si>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</si>
  <si>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</si>
  <si>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 (Al kragolyia)</t>
  </si>
  <si>
    <t>حي الضباط ( الكرغولية)</t>
  </si>
  <si>
    <t>Hay Al Shuhada (Al kragolyia)</t>
  </si>
  <si>
    <t>حي الشهداء (الكرغولية )</t>
  </si>
  <si>
    <t>كيلو 32</t>
  </si>
  <si>
    <t>Shaka -1</t>
  </si>
  <si>
    <t xml:space="preserve">شاخة -1 </t>
  </si>
  <si>
    <t>shaka -4</t>
  </si>
  <si>
    <t>شاخة -4</t>
  </si>
  <si>
    <t>IQ-P08837</t>
  </si>
  <si>
    <t>shaka -5</t>
  </si>
  <si>
    <t>IQ-P08838</t>
  </si>
  <si>
    <t>Shaka- 3</t>
  </si>
  <si>
    <t>شاخة -3</t>
  </si>
  <si>
    <t xml:space="preserve">Shbesha Village </t>
  </si>
  <si>
    <t xml:space="preserve">قرية شبيشة ( الكرغولية ) </t>
  </si>
  <si>
    <t>Al-Khalis</t>
  </si>
  <si>
    <t>مركز ناحية العظيم</t>
  </si>
  <si>
    <t>IQ-G10</t>
  </si>
  <si>
    <t>IQ-D059</t>
  </si>
  <si>
    <t>Al Batat village</t>
  </si>
  <si>
    <t>قرية البطاط</t>
  </si>
  <si>
    <t xml:space="preserve">Al bo shreh village  </t>
  </si>
  <si>
    <t>قرية البو شريح</t>
  </si>
  <si>
    <t>Al Darawish village</t>
  </si>
  <si>
    <t>قرية الدراويش</t>
  </si>
  <si>
    <t>Al Hamel Vellage</t>
  </si>
  <si>
    <t>قرية الحمل</t>
  </si>
  <si>
    <t>Al Hataween village</t>
  </si>
  <si>
    <t>قرية الهتاوين</t>
  </si>
  <si>
    <t>IQ-P12539</t>
  </si>
  <si>
    <t>Al Jardaniya village</t>
  </si>
  <si>
    <t>قرية الجردانية</t>
  </si>
  <si>
    <t>قرية الخلفاء</t>
  </si>
  <si>
    <t>IQ-P12549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</si>
  <si>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</si>
  <si>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</si>
  <si>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</si>
  <si>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</si>
  <si>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</si>
  <si>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</si>
  <si>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</si>
  <si>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</si>
  <si>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</si>
  <si>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IQ-P12417</t>
  </si>
  <si>
    <t>Al Shalahmaa Village</t>
  </si>
  <si>
    <t>قرية الشلاهمة</t>
  </si>
  <si>
    <t>قرية الطالعة الاولى ( البو ري)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</si>
  <si>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</si>
  <si>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</si>
  <si>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</si>
  <si>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</si>
  <si>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</si>
  <si>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 ( Albo Marei)</t>
  </si>
  <si>
    <t>قرية الوحدة ( البو مرعي)</t>
  </si>
  <si>
    <t>Al-Aqssa village</t>
  </si>
  <si>
    <t>قرية الاقصى</t>
  </si>
  <si>
    <t>Al-Arabdah Village</t>
  </si>
  <si>
    <t>قرية العرابضة</t>
  </si>
  <si>
    <t>Al-Bizayiz sheruin village</t>
  </si>
  <si>
    <t>قرية بزايز شروين</t>
  </si>
  <si>
    <t>Al-Dwaleeb village</t>
  </si>
  <si>
    <t>قرية الدواليب</t>
  </si>
  <si>
    <t>Al-Makareen Village</t>
  </si>
  <si>
    <t>قرية المكاريين</t>
  </si>
  <si>
    <t>Al-Marfoo village</t>
  </si>
  <si>
    <t>قرية المرفوع</t>
  </si>
  <si>
    <t>Al-Mashroo Village</t>
  </si>
  <si>
    <t>قرية المشروع</t>
  </si>
  <si>
    <t>Al-Sadah Village</t>
  </si>
  <si>
    <t>قرية السادة</t>
  </si>
  <si>
    <t>Albo Elaywi village</t>
  </si>
  <si>
    <t>قرية البو عليوي</t>
  </si>
  <si>
    <t>Albo Hassoni village</t>
  </si>
  <si>
    <t>قرية البوحسوني</t>
  </si>
  <si>
    <t>Albo Ibada village</t>
  </si>
  <si>
    <t>قرية البو عبادة</t>
  </si>
  <si>
    <t>Albo Nagem Village</t>
  </si>
  <si>
    <t>قرية البو نجم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</si>
  <si>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</si>
  <si>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</si>
  <si>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</si>
  <si>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</si>
  <si>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</si>
  <si>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</si>
  <si>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</si>
  <si>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</si>
  <si>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</si>
  <si>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</si>
  <si>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Ali Abdulla village</t>
  </si>
  <si>
    <t>قرية علي العبد الله</t>
  </si>
  <si>
    <t>Alwan hadid village</t>
  </si>
  <si>
    <t>قرية علوان الحديد</t>
  </si>
  <si>
    <t>Arab hafedh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</si>
  <si>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</si>
  <si>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</si>
  <si>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</si>
  <si>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</si>
  <si>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</si>
  <si>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</si>
  <si>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</si>
  <si>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Bayat village</t>
  </si>
  <si>
    <t>قرية البيات</t>
  </si>
  <si>
    <t>Bazaiz Al-mashroo village</t>
  </si>
  <si>
    <t>قرية بزايز المشروع</t>
  </si>
  <si>
    <t>Dawod Al-Salom village</t>
  </si>
  <si>
    <t>قرية داوود السلوم</t>
  </si>
  <si>
    <t>قرية دواليب الامام</t>
  </si>
  <si>
    <t>Ein Layla village</t>
  </si>
  <si>
    <t>قرية عين ليلى</t>
  </si>
  <si>
    <t>قرية حبيب العبدالله</t>
  </si>
  <si>
    <t>Habib Al-Khaizaran village</t>
  </si>
  <si>
    <t>قرية حبيب الخيزران</t>
  </si>
  <si>
    <t>Hamada village-mansuria</t>
  </si>
  <si>
    <t>Hamza Al-najim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</si>
  <si>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</si>
  <si>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</si>
  <si>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</si>
  <si>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</si>
  <si>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</si>
  <si>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قرية حسن ضايع</t>
  </si>
  <si>
    <t>حي الضباط</t>
  </si>
  <si>
    <t>حي المعلمين</t>
  </si>
  <si>
    <t>حي الرشيد</t>
  </si>
  <si>
    <t>حي الشيخ حسن</t>
  </si>
  <si>
    <t>حي الشهداء</t>
  </si>
  <si>
    <t>حي كرد علي</t>
  </si>
  <si>
    <t>Jadhaif village</t>
  </si>
  <si>
    <t>قرية جضيف</t>
  </si>
  <si>
    <t>Khan al Qarsa village</t>
  </si>
  <si>
    <t>قرية خان القرصة</t>
  </si>
  <si>
    <t>Khashim Zaror village</t>
  </si>
  <si>
    <t>قرية خشم زرور</t>
  </si>
  <si>
    <t>IQ-P12577</t>
  </si>
  <si>
    <t>Mansouriyat Algabal</t>
  </si>
  <si>
    <t>منصورية الجبل</t>
  </si>
  <si>
    <t>Mijbas village</t>
  </si>
  <si>
    <t>قرية مجباس</t>
  </si>
  <si>
    <t>Muhammad ali village</t>
  </si>
  <si>
    <t>قرية محمد العلي</t>
  </si>
  <si>
    <t>Muhammad taha village</t>
  </si>
  <si>
    <t>قرية محمد طه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</si>
  <si>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</si>
  <si>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</si>
  <si>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</si>
  <si>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</si>
  <si>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</si>
  <si>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</si>
  <si>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</si>
  <si>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شروين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</si>
  <si>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</si>
  <si>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</si>
  <si>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</si>
  <si>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</si>
  <si>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</si>
  <si>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</si>
  <si>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</si>
  <si>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</si>
  <si>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</si>
  <si>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</si>
  <si>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</si>
  <si>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</si>
  <si>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</si>
  <si>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</si>
  <si>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ابو دهن</t>
  </si>
  <si>
    <t>IQ-D062</t>
  </si>
  <si>
    <t>IQ-P13323</t>
  </si>
  <si>
    <t>Abu musa village</t>
  </si>
  <si>
    <t>قرية ابو موسى</t>
  </si>
  <si>
    <t>Al-Aali village</t>
  </si>
  <si>
    <t>قرية العالي</t>
  </si>
  <si>
    <t>Al-Arda village</t>
  </si>
  <si>
    <t>قرية العردة</t>
  </si>
  <si>
    <t>قرية الدرويش</t>
  </si>
  <si>
    <t>Al-Hamadi village</t>
  </si>
  <si>
    <t>قرية الحمادي</t>
  </si>
  <si>
    <t>قرية العكيدات</t>
  </si>
  <si>
    <t>قرية الكوام</t>
  </si>
  <si>
    <t>Al-Lihayb village</t>
  </si>
  <si>
    <t>قرية اللهيب</t>
  </si>
  <si>
    <t>قرية الميثاق</t>
  </si>
  <si>
    <t>IQ-P13274</t>
  </si>
  <si>
    <t>IQ-P13183</t>
  </si>
  <si>
    <t>Al-Sakhar village</t>
  </si>
  <si>
    <t>قرية الصخر</t>
  </si>
  <si>
    <t>IQ-P13316</t>
  </si>
  <si>
    <t>Al-Shekha village</t>
  </si>
  <si>
    <t>قرية الشيخة</t>
  </si>
  <si>
    <t>Al-Sodoor</t>
  </si>
  <si>
    <t>الصدور</t>
  </si>
  <si>
    <t>IQ-P13239</t>
  </si>
  <si>
    <t>حي الصمود</t>
  </si>
  <si>
    <t>IQ-P13302</t>
  </si>
  <si>
    <t>الطنيرة</t>
  </si>
  <si>
    <t>Al-Uqood village</t>
  </si>
  <si>
    <t>قرية العقود</t>
  </si>
  <si>
    <t>Al-Wazan village</t>
  </si>
  <si>
    <t>قرية الوزان</t>
  </si>
  <si>
    <t>قرية بلور</t>
  </si>
  <si>
    <t>Haj fadhil village</t>
  </si>
  <si>
    <t>قرية حجي فاضل</t>
  </si>
  <si>
    <t>Hamada village</t>
  </si>
  <si>
    <t>قرية حمادة</t>
  </si>
  <si>
    <t>حي الكرامة</t>
  </si>
  <si>
    <t>حي المطار</t>
  </si>
  <si>
    <t>حي النور</t>
  </si>
  <si>
    <t>حي السوق</t>
  </si>
  <si>
    <t>حي العروبة</t>
  </si>
  <si>
    <t>Hmbs village</t>
  </si>
  <si>
    <t>قرية حمبس</t>
  </si>
  <si>
    <t>قرية امام طالب</t>
  </si>
  <si>
    <t>IQ-P13310</t>
  </si>
  <si>
    <t>Izham village</t>
  </si>
  <si>
    <t>Jubtin village</t>
  </si>
  <si>
    <t>قرية جبتين</t>
  </si>
  <si>
    <t>محلة دور الضباط</t>
  </si>
  <si>
    <t>IQ-P13266</t>
  </si>
  <si>
    <t>Nahr Al-shaykh village</t>
  </si>
  <si>
    <t>قرية نهر الشيخ</t>
  </si>
  <si>
    <t>Nofal village</t>
  </si>
  <si>
    <t>قرية نوفل</t>
  </si>
  <si>
    <t>Parwana village</t>
  </si>
  <si>
    <t>قرية بروانة</t>
  </si>
  <si>
    <t>Shak Al-rak village</t>
  </si>
  <si>
    <t>قرية شاق الراق</t>
  </si>
  <si>
    <t>Shamamla village</t>
  </si>
  <si>
    <t>قرية شماملة</t>
  </si>
  <si>
    <t>Shamarkhi village</t>
  </si>
  <si>
    <t>قرية شمرخي</t>
  </si>
  <si>
    <t>قرية شوك الريم</t>
  </si>
  <si>
    <t>IQ-P13338</t>
  </si>
  <si>
    <t>Sinsil Al-wasat village</t>
  </si>
  <si>
    <t>قرية سنسل الوسط</t>
  </si>
  <si>
    <t>Skheyr village</t>
  </si>
  <si>
    <t>قرية سخير</t>
  </si>
  <si>
    <t>Sodoor Al-ray</t>
  </si>
  <si>
    <t>صدور الري</t>
  </si>
  <si>
    <t>قرية ولوش 1</t>
  </si>
  <si>
    <t>قرية ولوش 2</t>
  </si>
  <si>
    <t>Khanaqin</t>
  </si>
  <si>
    <t>17Tamooz Qtr</t>
  </si>
  <si>
    <t>حي 17 تموز</t>
  </si>
  <si>
    <t>IQ-D060</t>
  </si>
  <si>
    <t>Al Salaam Qtr</t>
  </si>
  <si>
    <t>حي السلام</t>
  </si>
  <si>
    <t>حي التاخي</t>
  </si>
  <si>
    <t>Al-Asree Qtr</t>
  </si>
  <si>
    <t>الحي العصري</t>
  </si>
  <si>
    <t>Al-husaini village</t>
  </si>
  <si>
    <t>قرية الحصيني</t>
  </si>
  <si>
    <t>حي الربيع الثالثة</t>
  </si>
  <si>
    <t>حي الربيع الثانية</t>
  </si>
  <si>
    <t>حي الطليعة 2</t>
  </si>
  <si>
    <t>حي الطليعة</t>
  </si>
  <si>
    <t>Alaroba Qtr</t>
  </si>
  <si>
    <t>حي الخضراء</t>
  </si>
  <si>
    <t>حي الاسراء</t>
  </si>
  <si>
    <t xml:space="preserve">حي سعد 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</si>
  <si>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</si>
  <si>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</si>
  <si>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</si>
  <si>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</si>
  <si>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</si>
  <si>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</si>
  <si>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Al-Nitham village</t>
  </si>
  <si>
    <t>قرية النظام</t>
  </si>
  <si>
    <t>IQ-D061</t>
  </si>
  <si>
    <t>Makhmur</t>
  </si>
  <si>
    <t>Bnari Qara chogh</t>
  </si>
  <si>
    <t>بناري قه ره جوغ</t>
  </si>
  <si>
    <t>IQ-G11</t>
  </si>
  <si>
    <t>IQ-D066</t>
  </si>
  <si>
    <t>Bndiyan</t>
  </si>
  <si>
    <t>بنديان</t>
  </si>
  <si>
    <t>IQ-P14198</t>
  </si>
  <si>
    <t>Farmanbaran</t>
  </si>
  <si>
    <t>فرمانبران</t>
  </si>
  <si>
    <t>IQ-P14254</t>
  </si>
  <si>
    <t xml:space="preserve">Kurdistan </t>
  </si>
  <si>
    <t xml:space="preserve">كوردستان </t>
  </si>
  <si>
    <t>IQ-P14404</t>
  </si>
  <si>
    <t>Qalat</t>
  </si>
  <si>
    <t>قلات</t>
  </si>
  <si>
    <t>IQ-P14478</t>
  </si>
  <si>
    <t>Saray(markez bazar)</t>
  </si>
  <si>
    <t>سراي (مركز بازار)</t>
  </si>
  <si>
    <t>Shahidan</t>
  </si>
  <si>
    <t>شهيدان</t>
  </si>
  <si>
    <t>IQ-P14545</t>
  </si>
  <si>
    <t>Sherwany</t>
  </si>
  <si>
    <t>شيرواني</t>
  </si>
  <si>
    <t>IQ-P14558</t>
  </si>
  <si>
    <t>قرية الهندية</t>
  </si>
  <si>
    <t>IQ-G13</t>
  </si>
  <si>
    <t>IQ-D076</t>
  </si>
  <si>
    <t>Idris khabbaz</t>
  </si>
  <si>
    <t>ادريس خباز</t>
  </si>
  <si>
    <t>IQ-P17633</t>
  </si>
  <si>
    <t>ادريس خزعل</t>
  </si>
  <si>
    <t>IQ-P17354</t>
  </si>
  <si>
    <t>Mala Abdullah village</t>
  </si>
  <si>
    <t xml:space="preserve">قرية ملا عبدالله 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</si>
  <si>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</si>
  <si>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</si>
  <si>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</si>
  <si>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</si>
  <si>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</si>
  <si>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</si>
  <si>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</si>
  <si>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</si>
  <si>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</si>
  <si>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</si>
  <si>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</si>
  <si>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</si>
  <si>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</si>
  <si>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</si>
  <si>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</si>
  <si>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</si>
  <si>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</si>
  <si>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</si>
  <si>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</si>
  <si>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Bayevok</t>
  </si>
  <si>
    <t>بايفوك</t>
  </si>
  <si>
    <t>Bir Adam</t>
  </si>
  <si>
    <t>بير ادم</t>
  </si>
  <si>
    <t>IQ-P20588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</si>
  <si>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</si>
  <si>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</si>
  <si>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</si>
  <si>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</si>
  <si>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</si>
  <si>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</si>
  <si>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</si>
  <si>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</si>
  <si>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</si>
  <si>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</si>
  <si>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</si>
  <si>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</si>
  <si>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</si>
  <si>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</si>
  <si>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</si>
  <si>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</si>
  <si>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</si>
  <si>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</si>
  <si>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</si>
  <si>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</si>
  <si>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</si>
  <si>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 xml:space="preserve">Karsi </t>
  </si>
  <si>
    <t>كرسي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</si>
  <si>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</si>
  <si>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</si>
  <si>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</si>
  <si>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</si>
  <si>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</si>
  <si>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</si>
  <si>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</si>
  <si>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</si>
  <si>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</si>
  <si>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</si>
  <si>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</si>
  <si>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</si>
  <si>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</si>
  <si>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</si>
  <si>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</si>
  <si>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</si>
  <si>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</si>
  <si>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</si>
  <si>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</si>
  <si>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</si>
  <si>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</si>
  <si>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</si>
  <si>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</si>
  <si>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</si>
  <si>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</si>
  <si>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</si>
  <si>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</si>
  <si>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>Telafar</t>
  </si>
  <si>
    <t>قرية ابو حجيرة</t>
  </si>
  <si>
    <t>IQ-D090</t>
  </si>
  <si>
    <t>IQ-P20689</t>
  </si>
  <si>
    <t>قرية البوثة</t>
  </si>
  <si>
    <t>قرية عوينات</t>
  </si>
  <si>
    <t>قرية كرصور</t>
  </si>
  <si>
    <t>قرية صالحية الراوية</t>
  </si>
  <si>
    <t>Abtakh</t>
  </si>
  <si>
    <t>IQ-P20685</t>
  </si>
  <si>
    <t>abu khushub</t>
  </si>
  <si>
    <t>قرية أبو خشب</t>
  </si>
  <si>
    <t>IQ-P20690</t>
  </si>
  <si>
    <t>قرية عين حلوة العليا</t>
  </si>
  <si>
    <t>IQ-P20701</t>
  </si>
  <si>
    <t>Bardih complex</t>
  </si>
  <si>
    <t>مجمع برديه</t>
  </si>
  <si>
    <t>IQ-P20730</t>
  </si>
  <si>
    <t>قرية بئر عكلة</t>
  </si>
  <si>
    <t>Eayan eaways Village</t>
  </si>
  <si>
    <t>عين عويس</t>
  </si>
  <si>
    <t>Ein Alhilwa</t>
  </si>
  <si>
    <t>قرية عين الحلوة</t>
  </si>
  <si>
    <t>قرية عين جحيشية</t>
  </si>
  <si>
    <t>Fakerok</t>
  </si>
  <si>
    <t>قرية فقيروك</t>
  </si>
  <si>
    <t>IQ-P20754</t>
  </si>
  <si>
    <t>قرية جلبارات</t>
  </si>
  <si>
    <t>Hamd Agha Village</t>
  </si>
  <si>
    <t>حمد اغا</t>
  </si>
  <si>
    <t>Hay Al Muthana</t>
  </si>
  <si>
    <t>حي المثنى</t>
  </si>
  <si>
    <t>IQ-P20765</t>
  </si>
  <si>
    <t>Hay Al Uroba</t>
  </si>
  <si>
    <t>حي العسكري</t>
  </si>
  <si>
    <t>حي الاربعين</t>
  </si>
  <si>
    <t>حي العصرية</t>
  </si>
  <si>
    <t>الحي الذهبي</t>
  </si>
  <si>
    <t>حي اللبن</t>
  </si>
  <si>
    <t>حي القادسية</t>
  </si>
  <si>
    <t>IQ-P20766</t>
  </si>
  <si>
    <t>حي السكك</t>
  </si>
  <si>
    <t>Hokna</t>
  </si>
  <si>
    <t>قرية حكنه</t>
  </si>
  <si>
    <t>jadida</t>
  </si>
  <si>
    <t>قرية جديده</t>
  </si>
  <si>
    <t>Jukhri Village</t>
  </si>
  <si>
    <t>جخري</t>
  </si>
  <si>
    <t>قرية جصة</t>
  </si>
  <si>
    <t>IQ-P20776</t>
  </si>
  <si>
    <t>Kahreez</t>
  </si>
  <si>
    <t>كهريز</t>
  </si>
  <si>
    <t>IQ-P20777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</si>
  <si>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</si>
  <si>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</si>
  <si>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</si>
  <si>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</si>
  <si>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</si>
  <si>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</si>
  <si>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Kirver village</t>
  </si>
  <si>
    <t>قرية كرفر</t>
  </si>
  <si>
    <t>قرية مفري</t>
  </si>
  <si>
    <t>IQ-P20711</t>
  </si>
  <si>
    <t>Mashraf</t>
  </si>
  <si>
    <t>مشرف</t>
  </si>
  <si>
    <t>IQ-P20808</t>
  </si>
  <si>
    <t>قرية مشيرفة</t>
  </si>
  <si>
    <t>Omar khaild Village</t>
  </si>
  <si>
    <t>عمر خالد</t>
  </si>
  <si>
    <t>Qasaba Al Zummar</t>
  </si>
  <si>
    <t>قصبه زمار</t>
  </si>
  <si>
    <t>قرية قسرصريج</t>
  </si>
  <si>
    <t>IQ-P20837</t>
  </si>
  <si>
    <t>ساحل حمد</t>
  </si>
  <si>
    <t>Sahilah Village</t>
  </si>
  <si>
    <t>سحيله</t>
  </si>
  <si>
    <t>IQ-P20861</t>
  </si>
  <si>
    <t>Tal alhuaa</t>
  </si>
  <si>
    <t>IQ-P20872</t>
  </si>
  <si>
    <t>قرية تل حيال</t>
  </si>
  <si>
    <t>قرية تل أسمير</t>
  </si>
  <si>
    <t>IQ-P20881</t>
  </si>
  <si>
    <t>قرية تل مرك سفلى</t>
  </si>
  <si>
    <t>IQ-P20835</t>
  </si>
  <si>
    <t>قرية تل مرك عليا</t>
  </si>
  <si>
    <t>قرية تل موس</t>
  </si>
  <si>
    <t>IQ-P20875</t>
  </si>
  <si>
    <t>قرية تل طلب</t>
  </si>
  <si>
    <t>قرية تل وردان</t>
  </si>
  <si>
    <t>Tel shor</t>
  </si>
  <si>
    <t>Telafar-Al Noor</t>
  </si>
  <si>
    <t>Wadi shour</t>
  </si>
  <si>
    <t>قرية وادي شور</t>
  </si>
  <si>
    <t>Zummar-domez complex</t>
  </si>
  <si>
    <t>مجمع دوميز</t>
  </si>
  <si>
    <t>Tilkaif</t>
  </si>
  <si>
    <t>القصبة القديمة</t>
  </si>
  <si>
    <t>IQ-D091</t>
  </si>
  <si>
    <t xml:space="preserve">دير ستون </t>
  </si>
  <si>
    <t>IQ-P20938</t>
  </si>
  <si>
    <t xml:space="preserve">Babnet Village </t>
  </si>
  <si>
    <t>قرية بابنيت</t>
  </si>
  <si>
    <t>IQ-P20917</t>
  </si>
  <si>
    <t>حي الحسين</t>
  </si>
  <si>
    <t>Mosul Dam</t>
  </si>
  <si>
    <t xml:space="preserve">مشروع سد الموصل </t>
  </si>
  <si>
    <t>Wanna-Manara</t>
  </si>
  <si>
    <t>منارة</t>
  </si>
  <si>
    <t>IQ-P20992</t>
  </si>
  <si>
    <t>Wanna-Tal Adas</t>
  </si>
  <si>
    <t>تل عدس</t>
  </si>
  <si>
    <t>IQ-P21035</t>
  </si>
  <si>
    <t>Al-Daur</t>
  </si>
  <si>
    <t>IQ-G18</t>
  </si>
  <si>
    <t>IQ-D103</t>
  </si>
  <si>
    <t>Al-Khadhra area</t>
  </si>
  <si>
    <t>الدور حي الخضراء</t>
  </si>
  <si>
    <t>IQ-P23412</t>
  </si>
  <si>
    <t>المجمع السكني</t>
  </si>
  <si>
    <t>Hay Abu Dalaf</t>
  </si>
  <si>
    <t>حي ابو دلف</t>
  </si>
  <si>
    <t>IQ-P23391</t>
  </si>
  <si>
    <t>Hay Al Qadisiah</t>
  </si>
  <si>
    <t>IQ-P23426</t>
  </si>
  <si>
    <t>حي العبور</t>
  </si>
  <si>
    <t>حي المعهد</t>
  </si>
  <si>
    <t>حي الشرقية</t>
  </si>
  <si>
    <t>حي تل البنات</t>
  </si>
  <si>
    <t>Al-Fares</t>
  </si>
  <si>
    <t>مقاطعه 5 طوير ، قرية البوفدعوس</t>
  </si>
  <si>
    <t>IQ-D104</t>
  </si>
  <si>
    <t>قرية بزنة</t>
  </si>
  <si>
    <t>Baiji</t>
  </si>
  <si>
    <t>IQ-D101</t>
  </si>
  <si>
    <t>IQ-P23185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</si>
  <si>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</si>
  <si>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</si>
  <si>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</si>
  <si>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</si>
  <si>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</si>
  <si>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</si>
  <si>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</si>
  <si>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الضلوعية مقاطعة 25 الضلوعية قرية الجبور والحويجة ا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</si>
  <si>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</si>
  <si>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</si>
  <si>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</si>
  <si>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</si>
  <si>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</si>
  <si>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</si>
  <si>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</si>
  <si>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 xml:space="preserve">Yathrib sub distrct </t>
  </si>
  <si>
    <t>ناحية يثرب</t>
  </si>
  <si>
    <t>Samarra</t>
  </si>
  <si>
    <t>IQ-D105</t>
  </si>
  <si>
    <t>Al-Jillam area</t>
  </si>
  <si>
    <t>منطقة الجلام</t>
  </si>
  <si>
    <t>IQ-P23512</t>
  </si>
  <si>
    <t>Al-Tresha-Albu Fahed</t>
  </si>
  <si>
    <t>المعتصم مقاطعة 15 الطريشة البو فهد</t>
  </si>
  <si>
    <t>IQ-P23530</t>
  </si>
  <si>
    <t>Al-Tresha-Albu Shatb</t>
  </si>
  <si>
    <t>المعتصم مقاطعة 15 الطريشة قرية البو شطب</t>
  </si>
  <si>
    <t>IQ-P23532</t>
  </si>
  <si>
    <t>Al_Jazera</t>
  </si>
  <si>
    <t>م ق سامراء مقاطعة 9 الجزيرة (الجزءالجنوبي) سكن متن</t>
  </si>
  <si>
    <t>IQ-P23494</t>
  </si>
  <si>
    <t>مقاطعة 27 حاوى البساط</t>
  </si>
  <si>
    <t>Huiesh village</t>
  </si>
  <si>
    <t>Mahala mkeasheefa</t>
  </si>
  <si>
    <t>محلة مكيشيفه</t>
  </si>
  <si>
    <t>Tikrit</t>
  </si>
  <si>
    <t>Al Ahad Al Jadid village</t>
  </si>
  <si>
    <t>العلم مقاطعة 28 السمرة والعبادي قرية العهد الجديد</t>
  </si>
  <si>
    <t>IQ-D108</t>
  </si>
  <si>
    <t>IQ-P23661</t>
  </si>
  <si>
    <t>Al Askari village</t>
  </si>
  <si>
    <t>IQ-P23663</t>
  </si>
  <si>
    <t>Al Haweja village-AlAbady</t>
  </si>
  <si>
    <t>Al khuzamiya Village</t>
  </si>
  <si>
    <t>العلم مقاطعة 30 الخزامية قرية الخزامية</t>
  </si>
  <si>
    <t>IQ-P23674</t>
  </si>
  <si>
    <t>Al Namah Al Shamaliyah</t>
  </si>
  <si>
    <t>العلم مقاطعة 47 الناعمة الشمالية قرية الناعمة الشم</t>
  </si>
  <si>
    <t>IQ-P23680</t>
  </si>
  <si>
    <t>IQ-P23681</t>
  </si>
  <si>
    <t>Al-Alam-mahallat awayjelya 27</t>
  </si>
  <si>
    <t>العلم حي عويجيلية (27-الخرجة والعالي) محلة عويجل</t>
  </si>
  <si>
    <t>قرية الدليمات</t>
  </si>
  <si>
    <t>قرية الكرامة</t>
  </si>
  <si>
    <t>IQ-P23706</t>
  </si>
  <si>
    <t>Al-Khanag village</t>
  </si>
  <si>
    <t>قرية الخنك</t>
  </si>
  <si>
    <t>IQ-P23673</t>
  </si>
  <si>
    <t>Al-Muskarat</t>
  </si>
  <si>
    <t>منطقة المعسكرات</t>
  </si>
  <si>
    <t>Al-Mutaradah 204</t>
  </si>
  <si>
    <t>م ق تكريت حي الشهداء مقاطعة 7-المطاردة محلة 204</t>
  </si>
  <si>
    <t>IQ-P23709</t>
  </si>
  <si>
    <t>مقاطعة 49 الناعمة الجنوبية قرية الناعمة الجنوبية</t>
  </si>
  <si>
    <t>قرية الصافية</t>
  </si>
  <si>
    <t>IQ-P23711</t>
  </si>
  <si>
    <t>Al-Shahama Village</t>
  </si>
  <si>
    <t>م ق تكريت مقاطعة 8 الخنك قرية الشهامة</t>
  </si>
  <si>
    <t>IQ-P23712</t>
  </si>
  <si>
    <t>IQ-P23714</t>
  </si>
  <si>
    <t>Awajealah Quarter</t>
  </si>
  <si>
    <t>حي عويجيلية -م(27-الخرجة والعالي)</t>
  </si>
  <si>
    <t>IQ-P23999</t>
  </si>
  <si>
    <t>Ellmeabdi Al Shemaliya Village</t>
  </si>
  <si>
    <t>العلم مقاطعة 44 المعيبدي الشمالية</t>
  </si>
  <si>
    <t>IQ-P23801</t>
  </si>
  <si>
    <t>قرية حماد شهاب</t>
  </si>
  <si>
    <t>IQ-P23720</t>
  </si>
  <si>
    <t>IQ-P23655</t>
  </si>
  <si>
    <t>Hay Al Asry Al Jadid-404</t>
  </si>
  <si>
    <t>IQ-P23726</t>
  </si>
  <si>
    <t>Hay Al baladiyah</t>
  </si>
  <si>
    <t>حي البلدية-م(27-الخرجة والعالي)</t>
  </si>
  <si>
    <t>IQ-P24000</t>
  </si>
  <si>
    <t>Hay Al Jamiyah</t>
  </si>
  <si>
    <t>IQ-P23736</t>
  </si>
  <si>
    <t>العلم حي الصناعي -م(51-المجرة وتل رجيم) قرية الصمد</t>
  </si>
  <si>
    <t>IQ-P23747</t>
  </si>
  <si>
    <t>IQ-P23723</t>
  </si>
  <si>
    <t>IQ-P23729</t>
  </si>
  <si>
    <t>IQ-P23735</t>
  </si>
  <si>
    <t>IQ-P23739</t>
  </si>
  <si>
    <t>Hay Al-Quthat</t>
  </si>
  <si>
    <t>حي القضاة</t>
  </si>
  <si>
    <t>حي الصقور</t>
  </si>
  <si>
    <t>IQ-P23758</t>
  </si>
  <si>
    <t>Hay Al-Wihda</t>
  </si>
  <si>
    <t>حي الزهور- محله 422</t>
  </si>
  <si>
    <t>IQ-P23753</t>
  </si>
  <si>
    <t>IQ-P23730</t>
  </si>
  <si>
    <t>Hay Alfirdous</t>
  </si>
  <si>
    <t>Hay Alkahrbaa</t>
  </si>
  <si>
    <t>حي الكهرباء</t>
  </si>
  <si>
    <t>Hay Alqalaa</t>
  </si>
  <si>
    <t>IQ-P23743</t>
  </si>
  <si>
    <t>حي التجنيد</t>
  </si>
  <si>
    <t>IQ-P23749</t>
  </si>
  <si>
    <t>Hay Alziraa</t>
  </si>
  <si>
    <t>حي الزراعة</t>
  </si>
  <si>
    <t>IQ-P23762</t>
  </si>
  <si>
    <t>Mahalla Al muwadafeen</t>
  </si>
  <si>
    <t>العلم حي الموظفين (27الخرجة والعالي) محلة الموظفين</t>
  </si>
  <si>
    <t>IQ-P23786</t>
  </si>
  <si>
    <t>Qaryat Erbaidha</t>
  </si>
  <si>
    <t>العلم مقاطعة 30 الربيضة قرية أربيضة</t>
  </si>
  <si>
    <t>IQ-P23789</t>
  </si>
  <si>
    <t>Sadayrat Abo Ajeel</t>
  </si>
  <si>
    <t>صديرة ابو عجيل</t>
  </si>
  <si>
    <t>IQ-P23792</t>
  </si>
  <si>
    <t>Samrah Village</t>
  </si>
  <si>
    <t>العلم مقاطعة 28 السمرة والعبادي قرية سمرة</t>
  </si>
  <si>
    <t>IQ-P23793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</si>
  <si>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</si>
  <si>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</si>
  <si>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</si>
  <si>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</si>
  <si>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</si>
  <si>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</si>
  <si>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</si>
  <si>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</si>
  <si>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</si>
  <si>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</si>
  <si>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</si>
  <si>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Al-Askareen</t>
  </si>
  <si>
    <t>حي العسكريين</t>
  </si>
  <si>
    <t>Hay Al-Askary</t>
  </si>
  <si>
    <t>Hay Al-Nasr</t>
  </si>
  <si>
    <t>Hay Al-Teen</t>
  </si>
  <si>
    <t>حي التين</t>
  </si>
  <si>
    <t>حي سبعة تموز</t>
  </si>
  <si>
    <t>Hay Wahid Huzayran</t>
  </si>
  <si>
    <t>حي واحد حزيران</t>
  </si>
  <si>
    <t>Qara Naz village</t>
  </si>
  <si>
    <t>قرية قرناز</t>
  </si>
  <si>
    <t>Husaibah Al-Sharqiah</t>
  </si>
  <si>
    <t>Khana sor</t>
  </si>
  <si>
    <t>Ain Hilwa Upper</t>
  </si>
  <si>
    <t>Sahel Hamad Village</t>
  </si>
  <si>
    <t>Tal Ismair</t>
  </si>
  <si>
    <t>Al Hejaj Village -13</t>
  </si>
  <si>
    <t>Al Mahzam village</t>
  </si>
  <si>
    <t>Al Zallayah village</t>
  </si>
  <si>
    <t>Hay Al sinay-Al samad</t>
  </si>
  <si>
    <t>Al-Rutba</t>
  </si>
  <si>
    <t>Al Hara</t>
  </si>
  <si>
    <t>حي الحارة</t>
  </si>
  <si>
    <t>IQ-D007</t>
  </si>
  <si>
    <t>IQ-P00504</t>
  </si>
  <si>
    <t>Al Intesar</t>
  </si>
  <si>
    <t>حي الانتصار</t>
  </si>
  <si>
    <t>IQ-P00513</t>
  </si>
  <si>
    <t>Hay Al Mattar</t>
  </si>
  <si>
    <t>IQ-P00518</t>
  </si>
  <si>
    <t>Hay Gharb Al Wadi</t>
  </si>
  <si>
    <t>حي غرب الوادي</t>
  </si>
  <si>
    <t>IQ-P00517</t>
  </si>
  <si>
    <t>Al Shuhada</t>
  </si>
  <si>
    <t>Al Bu Maeed village</t>
  </si>
  <si>
    <t>Sabea Al Buor -11000</t>
  </si>
  <si>
    <t>Sabea Al Buor -12000</t>
  </si>
  <si>
    <t>Sabea Al Buor -3000</t>
  </si>
  <si>
    <t>Sabea Al Buor -7000</t>
  </si>
  <si>
    <t>Sabea Al Buor -9000</t>
  </si>
  <si>
    <t>Sabea Al Buor-13000</t>
  </si>
  <si>
    <t>killo-31</t>
  </si>
  <si>
    <t>Killo-32</t>
  </si>
  <si>
    <t>Al Adheem Center</t>
  </si>
  <si>
    <t>Al Dwaleeb lmam Village</t>
  </si>
  <si>
    <t>Al Kholafavillage</t>
  </si>
  <si>
    <t>Al Majara Village</t>
  </si>
  <si>
    <t>قرية المجرة</t>
  </si>
  <si>
    <t>IQ-P12552</t>
  </si>
  <si>
    <t>Al Misht Al Ola -Albo Farhan village</t>
  </si>
  <si>
    <t>Al Misht Al thaniya -Albo Farhan village</t>
  </si>
  <si>
    <t>Al Qala village</t>
  </si>
  <si>
    <t>Al Taleaa Al Olaa Village (Albo Rai)</t>
  </si>
  <si>
    <t>Al Taleaa Al Thania Village</t>
  </si>
  <si>
    <t>Al-Mansouriyah-Sherween</t>
  </si>
  <si>
    <t>Al-Shuhada a</t>
  </si>
  <si>
    <t>Albo mandil village</t>
  </si>
  <si>
    <t>Albo Sabee Village</t>
  </si>
  <si>
    <t>Coksan village</t>
  </si>
  <si>
    <t>Dali Abbas-Al Hai Al Qadim</t>
  </si>
  <si>
    <t>Dalli Abass-Al Rasheed</t>
  </si>
  <si>
    <t>Dalli Abass-Al-Dhobat</t>
  </si>
  <si>
    <t>Dalli Abass-Al-Mualimen</t>
  </si>
  <si>
    <t>Dalli Abass-Al-Shekh Hassan</t>
  </si>
  <si>
    <t>Dalli Abass-Kurd Ali</t>
  </si>
  <si>
    <t>Habib Ai-Abdulla Village</t>
  </si>
  <si>
    <t>Hassan Dhayi village</t>
  </si>
  <si>
    <t>Najim Al-Abdulla village</t>
  </si>
  <si>
    <t>Al Karama Qtr</t>
  </si>
  <si>
    <t>Al Mataar Qtr</t>
  </si>
  <si>
    <t>Al Noor Qtr</t>
  </si>
  <si>
    <t>Al Somood</t>
  </si>
  <si>
    <t>Al Sooq Qtr</t>
  </si>
  <si>
    <t>Al-Gwam village</t>
  </si>
  <si>
    <t>Al-Muqdadiya Area-Abo Dihin</t>
  </si>
  <si>
    <t>Al-Muqdadiya Area-Al Tinaira</t>
  </si>
  <si>
    <t>Al-Muqdadiya Area-Al Uroba</t>
  </si>
  <si>
    <t>Al-Muqdadiya Area-Balor Village</t>
  </si>
  <si>
    <t>Al-Muqdadiya Area-Igaidat village</t>
  </si>
  <si>
    <t>Derwish Village</t>
  </si>
  <si>
    <t>Mahalat Door Al-Dhubbat</t>
  </si>
  <si>
    <t>Mithaq Village</t>
  </si>
  <si>
    <t>Qaryat Al-Taiha</t>
  </si>
  <si>
    <t>Qaryat Imam Talib</t>
  </si>
  <si>
    <t>Shok Al Reem village</t>
  </si>
  <si>
    <t>Walosh1 village</t>
  </si>
  <si>
    <t>Walosh2 village</t>
  </si>
  <si>
    <t>Al Jamahir Qtr</t>
  </si>
  <si>
    <t>حي الجماهير</t>
  </si>
  <si>
    <t>Al Shuhada Qtr</t>
  </si>
  <si>
    <t>Al Taakhi Qtr</t>
  </si>
  <si>
    <t>Al-Israa Qtr</t>
  </si>
  <si>
    <t>Al-Rabi Al Thaletha Qtr</t>
  </si>
  <si>
    <t>Al-Rabi Al Thaniya Qtr</t>
  </si>
  <si>
    <t>Al-Rabi Al ula Qtr</t>
  </si>
  <si>
    <t>Al-Shaheed Qtr (Al Zohor)</t>
  </si>
  <si>
    <t>Al-Taleaa 2 Qtr</t>
  </si>
  <si>
    <t>Al-Taleaa Qtr</t>
  </si>
  <si>
    <t>Alkhadra Qtr</t>
  </si>
  <si>
    <t>Saad Qtr</t>
  </si>
  <si>
    <t>Adris khazal</t>
  </si>
  <si>
    <t>Al Hendia</t>
  </si>
  <si>
    <t>Baashiqa-Al Alfaf collection</t>
  </si>
  <si>
    <t>Baashiqa-Al Baraka</t>
  </si>
  <si>
    <t>Baashiqa-Maghara</t>
  </si>
  <si>
    <t>Baashiqa-Merki</t>
  </si>
  <si>
    <t>Borak</t>
  </si>
  <si>
    <t>Zorava and zirwa</t>
  </si>
  <si>
    <t>Al Mafri</t>
  </si>
  <si>
    <t>Ein Gahesheya Village</t>
  </si>
  <si>
    <t>Gilbarat</t>
  </si>
  <si>
    <t>Hay Al laban</t>
  </si>
  <si>
    <t>Jussa North 1</t>
  </si>
  <si>
    <t>Qaryat Tal Maraq Al Sufla</t>
  </si>
  <si>
    <t>Qaryat Tal Maraq Ulya</t>
  </si>
  <si>
    <t>Qasr Sarij</t>
  </si>
  <si>
    <t>Rabeaa city-Al Arbaeen</t>
  </si>
  <si>
    <t>Rabeaa city-Al Qadisya</t>
  </si>
  <si>
    <t>Rabeaa city-Al Sikak</t>
  </si>
  <si>
    <t>Rubiya-Abu Hajira vilage</t>
  </si>
  <si>
    <t>Rubiya-Albawtha vilage</t>
  </si>
  <si>
    <t>Rubiya-Biir eakla vilage</t>
  </si>
  <si>
    <t>Rubiya-Euaynat vilage</t>
  </si>
  <si>
    <t>Rubiya-Hay Al Askari</t>
  </si>
  <si>
    <t>Rubiya-Hay Alasreya</t>
  </si>
  <si>
    <t>Rubiya-Hay Aldahape</t>
  </si>
  <si>
    <t>Rubiya-Karsur vilage</t>
  </si>
  <si>
    <t>Rubiya-Msherfa Village</t>
  </si>
  <si>
    <t>Rubiya-Salihiat alrawia vilage</t>
  </si>
  <si>
    <t>Rubiya-Tal Hial vilage</t>
  </si>
  <si>
    <t>Rubiya-Tal Talab vilage</t>
  </si>
  <si>
    <t>Rubiya-Tal waedan vilage</t>
  </si>
  <si>
    <t>Tal Mus</t>
  </si>
  <si>
    <t>Talafar center-Al Mualemen</t>
  </si>
  <si>
    <t>Talafar center-Al Salam</t>
  </si>
  <si>
    <t>Alqosh-Derston</t>
  </si>
  <si>
    <t>Wanna-Al Kasaba Al Qadema</t>
  </si>
  <si>
    <t>Wanna-Hay Al Askari</t>
  </si>
  <si>
    <t>Wanna-Hay Al Hussien</t>
  </si>
  <si>
    <t>Wanna-Hay Al Salam</t>
  </si>
  <si>
    <t>Wanna-Hay Al Zuhoor</t>
  </si>
  <si>
    <t>Al Asriyah village</t>
  </si>
  <si>
    <t>Al Mujammaa Al Sakani</t>
  </si>
  <si>
    <t>Hay Al Aboor</t>
  </si>
  <si>
    <t>Hay Al Askri</t>
  </si>
  <si>
    <t>Hay Al Mahad</t>
  </si>
  <si>
    <t>Hay Al Sharqiyah</t>
  </si>
  <si>
    <t>Hay Tal Al Banat</t>
  </si>
  <si>
    <t>Albofadous village</t>
  </si>
  <si>
    <t>Bizna Village</t>
  </si>
  <si>
    <t>Al Hamra village</t>
  </si>
  <si>
    <t>Albu-Tumah village-12</t>
  </si>
  <si>
    <t>Al-Haweeja Al bahriya</t>
  </si>
  <si>
    <t>Al Abassyiah Village</t>
  </si>
  <si>
    <t>Al Seeawiya 1</t>
  </si>
  <si>
    <t>Hawi Albsat</t>
  </si>
  <si>
    <t>(Al Qadissiya)-218-500</t>
  </si>
  <si>
    <t>Al Bzikhah Village</t>
  </si>
  <si>
    <t>Al Namah Al Junubiya 49</t>
  </si>
  <si>
    <t>Al-Karama Village</t>
  </si>
  <si>
    <t>Al-Safia Village</t>
  </si>
  <si>
    <t>Aldleimat Village</t>
  </si>
  <si>
    <t>Hammad Shehab village</t>
  </si>
  <si>
    <t>Hay Al Anwaa-Mahalla 420</t>
  </si>
  <si>
    <t>Hay Al Arbaeen- Mahalla 414</t>
  </si>
  <si>
    <t>Hay Al Baladiyat-Mahalla 402</t>
  </si>
  <si>
    <t>Hay Al Jamiya-Mahalla 416</t>
  </si>
  <si>
    <t>Hay Al Jamiyah-Mahalla 418</t>
  </si>
  <si>
    <t>Hay Al Mualimeen-Mahalla 406</t>
  </si>
  <si>
    <t>Hay Al Zuhoor-Mahalla 422</t>
  </si>
  <si>
    <t>Hay Al-Suqoore</t>
  </si>
  <si>
    <t>Hay Aldiyoom</t>
  </si>
  <si>
    <t>Hay Altajneed</t>
  </si>
  <si>
    <t>Hay Alziraa-100 Dar</t>
  </si>
  <si>
    <t>Hay Salma Al Taghlubiyah-Mahalla 401</t>
  </si>
  <si>
    <t>Hay Shishin-408</t>
  </si>
  <si>
    <t>Mahalla Al Aed</t>
  </si>
  <si>
    <t>Qdisiyah1- Mahalla 214</t>
  </si>
  <si>
    <t>Qdisiyah2- Mahalla 216</t>
  </si>
  <si>
    <t>Tal-Al Sibaat Village</t>
  </si>
  <si>
    <t>Hay Al-Ahrar-Al-Makrama</t>
  </si>
  <si>
    <t>Hay Al-Shohadaa</t>
  </si>
  <si>
    <t>Hay Sabaa Tamoz</t>
  </si>
  <si>
    <t>Al Salkah</t>
  </si>
  <si>
    <t>السكلة</t>
  </si>
  <si>
    <t>IQ-P00247</t>
  </si>
  <si>
    <t>Al Sofiyah</t>
  </si>
  <si>
    <t>الصوفية</t>
  </si>
  <si>
    <t>IQ-P00427</t>
  </si>
  <si>
    <t>Hay Al Akrad</t>
  </si>
  <si>
    <t>الاكراد</t>
  </si>
  <si>
    <t>IQ-P00473</t>
  </si>
  <si>
    <t>Kilo 5</t>
  </si>
  <si>
    <t>الخمسة كيلو</t>
  </si>
  <si>
    <t>IQ-P00402</t>
  </si>
  <si>
    <t>Albo Awad Village(Albo Khaial)</t>
  </si>
  <si>
    <t>قرية البو عواد (البو خيال)</t>
  </si>
  <si>
    <t>السكك</t>
  </si>
  <si>
    <t>IQ-P00264</t>
  </si>
  <si>
    <t>السجارية</t>
  </si>
  <si>
    <t>الجرايشي</t>
  </si>
  <si>
    <t>IQ-P00455</t>
  </si>
  <si>
    <t>القادسية الاولى</t>
  </si>
  <si>
    <t>IQ-P00491</t>
  </si>
  <si>
    <t>Al Andalus</t>
  </si>
  <si>
    <t>الاندلس</t>
  </si>
  <si>
    <t>IQ-P00412</t>
  </si>
  <si>
    <t>Al Katanah</t>
  </si>
  <si>
    <t>الكطانة</t>
  </si>
  <si>
    <t>Al-Sikak</t>
  </si>
  <si>
    <t>Al Sajariyah</t>
  </si>
  <si>
    <t>Al-Jeraishi</t>
  </si>
  <si>
    <t>7 Kilo-Mujam Al Sakani</t>
  </si>
  <si>
    <t>IQ-P00406</t>
  </si>
  <si>
    <t>Al Dhubat 2</t>
  </si>
  <si>
    <t xml:space="preserve">الضباط الثانية </t>
  </si>
  <si>
    <t>Al Hooz</t>
  </si>
  <si>
    <t>الحوز</t>
  </si>
  <si>
    <t>Al Lajeen</t>
  </si>
  <si>
    <t>اللاجئين</t>
  </si>
  <si>
    <t>Al Qadissiya 2</t>
  </si>
  <si>
    <t>القادسية الثانية</t>
  </si>
  <si>
    <t>IQ-P00492</t>
  </si>
  <si>
    <t>Al Ziraa</t>
  </si>
  <si>
    <t>الزراعة</t>
  </si>
  <si>
    <t>IQ-P00469</t>
  </si>
  <si>
    <t>Hay 30 Tamooz</t>
  </si>
  <si>
    <t>حي 30 تموز</t>
  </si>
  <si>
    <t>IQ-P00485</t>
  </si>
  <si>
    <t>Hay Al Dawajin</t>
  </si>
  <si>
    <t>حي الدواجن</t>
  </si>
  <si>
    <t>IQ-P00479</t>
  </si>
  <si>
    <t>Barah</t>
  </si>
  <si>
    <t>باره</t>
  </si>
  <si>
    <t>Al Aadil</t>
  </si>
  <si>
    <t>العادل</t>
  </si>
  <si>
    <t>IQ-P00411</t>
  </si>
  <si>
    <t>Al Askari</t>
  </si>
  <si>
    <t>العسكري</t>
  </si>
  <si>
    <t>Al Azeziya</t>
  </si>
  <si>
    <t>العزيزية</t>
  </si>
  <si>
    <t>IQ-P00413</t>
  </si>
  <si>
    <t>Al-Ankor</t>
  </si>
  <si>
    <t>العنكور</t>
  </si>
  <si>
    <t>IQ-P00429</t>
  </si>
  <si>
    <t>Al-Thilah</t>
  </si>
  <si>
    <t>الثيلة</t>
  </si>
  <si>
    <t>IQ-P00466</t>
  </si>
  <si>
    <t>Hay 8 Shibat</t>
  </si>
  <si>
    <t>Hay Al Eskan</t>
  </si>
  <si>
    <t>الاسكان</t>
  </si>
  <si>
    <t>IQ-P00474</t>
  </si>
  <si>
    <t>Hay Al Malab</t>
  </si>
  <si>
    <t>الملعب</t>
  </si>
  <si>
    <t>IQ-P00476</t>
  </si>
  <si>
    <t>Jubiya</t>
  </si>
  <si>
    <t>الزيدان-قرية الحمدان</t>
  </si>
  <si>
    <t>الزيدان-قرية الشنادخة</t>
  </si>
  <si>
    <t>الزيدان-قرية الشنيتر</t>
  </si>
  <si>
    <t>الزيدان-قرية مشكور</t>
  </si>
  <si>
    <t>الزيدان-قرية ياسين المطلق</t>
  </si>
  <si>
    <t>سبع البور-11000</t>
  </si>
  <si>
    <t>سبع البور -12000</t>
  </si>
  <si>
    <t>سبع البور-3000</t>
  </si>
  <si>
    <t>سبع البور-7000</t>
  </si>
  <si>
    <t>سبع البور-9000</t>
  </si>
  <si>
    <t>سبع البور-13000</t>
  </si>
  <si>
    <t>سبع البور-14000</t>
  </si>
  <si>
    <t>سبع البور-4000</t>
  </si>
  <si>
    <t>سبع البور-5000</t>
  </si>
  <si>
    <t>سبع البور-8000</t>
  </si>
  <si>
    <t>Abu Lahya (Al kragolyia)</t>
  </si>
  <si>
    <t>البو عيسا (الكرغولية )</t>
  </si>
  <si>
    <t>كيلو -31</t>
  </si>
  <si>
    <t>شاخة-5</t>
  </si>
  <si>
    <t>Al Askary Qtr</t>
  </si>
  <si>
    <t>قرية البو فرحان- المشط الاولى</t>
  </si>
  <si>
    <t>قرية البو فرحان- المشط الثانية</t>
  </si>
  <si>
    <t>قرية البومنديل</t>
  </si>
  <si>
    <t>قرية كوكسان</t>
  </si>
  <si>
    <t>الحي القديم</t>
  </si>
  <si>
    <t>قرية حماده-منصورية</t>
  </si>
  <si>
    <t>قرية زحام</t>
  </si>
  <si>
    <t>قرية التيهية</t>
  </si>
  <si>
    <t>Al-Khadraa Qtr</t>
  </si>
  <si>
    <t>حي الربيع الاولى</t>
  </si>
  <si>
    <t>حي الشهيد ( الزهور)</t>
  </si>
  <si>
    <t>خانصور</t>
  </si>
  <si>
    <t>زورافا+زيروا</t>
  </si>
  <si>
    <t>ابتاخ</t>
  </si>
  <si>
    <t>تل الهوى</t>
  </si>
  <si>
    <t>قرية تل الشور</t>
  </si>
  <si>
    <t>مقاطعة 10 الحمرة-قرية الحمرة</t>
  </si>
  <si>
    <t>مقاطعة 13 الحجاج والجيسات-قرية الحجاج</t>
  </si>
  <si>
    <t>مقاطعة 12 البو طعمة-قرية البوطعمه</t>
  </si>
  <si>
    <t>مقاطعة 4 القلعة-قرية العباسية</t>
  </si>
  <si>
    <t>محلة الصعيوية-1</t>
  </si>
  <si>
    <t>مقاطعة 4 القلعة-قرية الحويش</t>
  </si>
  <si>
    <t>حي المطاردة(قادسية2) مقاطعة 7 محله 218 – قطعه 500</t>
  </si>
  <si>
    <t>العلم -مقاطعة (27-الخرجة والعالي)-الحي العسكري</t>
  </si>
  <si>
    <t>العلم مقاطعة 31-قرية البزيخة</t>
  </si>
  <si>
    <t>قرية الحويجة-العبادي</t>
  </si>
  <si>
    <t>مقاطعة 9 المحزم-قرية المحزم</t>
  </si>
  <si>
    <t>مقاطعة 13 ملحة-قرية الزلاية</t>
  </si>
  <si>
    <t>حي الانواء-محله 420</t>
  </si>
  <si>
    <t>حي الاربعين-محله 414</t>
  </si>
  <si>
    <t>حي العصري-مقاطعة7-المطاردة محلة 404</t>
  </si>
  <si>
    <t>البلدديات-402</t>
  </si>
  <si>
    <t>حي الجمعية-محله 416</t>
  </si>
  <si>
    <t>العلم-حي الجمعية-2</t>
  </si>
  <si>
    <t>حي الجمعية-محله 418</t>
  </si>
  <si>
    <t>حي المعلمين-محله 406</t>
  </si>
  <si>
    <t>حي الديوم-مقاطعة 21-ديوم تكريت</t>
  </si>
  <si>
    <t>حي الفردوس(البو عبيد)مقاطعة -5 محلة 428</t>
  </si>
  <si>
    <t>حي القلعة (6-تكريت) محلة 405</t>
  </si>
  <si>
    <t>منطقة 100 دار</t>
  </si>
  <si>
    <t>حي سلمى التغلبيه-محله 401</t>
  </si>
  <si>
    <t>م ق تكريت حي شيشين -مقاطعة 5-وادي شيشين محلة 408</t>
  </si>
  <si>
    <t>العلم حي العائد(27-الخرجة والعالي) محلة العائد</t>
  </si>
  <si>
    <t>حي المطاردة(قادسية1) مقاطعة 7-محله 214</t>
  </si>
  <si>
    <t>حي المطاردة(قادسية2) مقاطعة 7-محله 216</t>
  </si>
  <si>
    <t>العلم مقاطعة 31-قرية تل السيباط</t>
  </si>
  <si>
    <t>حي الاحرار- المكرمة</t>
  </si>
  <si>
    <t>DTM : Returnee Master List Date 17-08-2016</t>
  </si>
  <si>
    <t>Heet - Maskhan</t>
  </si>
  <si>
    <t>Kapisah - Hay Al-Sinay</t>
  </si>
  <si>
    <t>السبعة كيلو - المجمع السكني</t>
  </si>
  <si>
    <t>Al Jamya</t>
  </si>
  <si>
    <t>Albu Alwan</t>
  </si>
  <si>
    <t>Qadisiya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</si>
</sst>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0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9"/>
  <sheetViews>
    <sheetView showGridLines="0" tabSelected="1" zoomScaleNormal="100" workbookViewId="0">
      <selection activeCell="K17" sqref="K17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7" width="19.28515625" style="19" customWidth="1"/>
    <col min="48" max="48" width="15" bestFit="1" customWidth="1"/>
    <col min="49" max="49" width="11.42578125" bestFit="1" customWidth="1"/>
    <col min="50" max="50" width="12.7109375" bestFit="1" customWidth="1"/>
  </cols>
  <sheetData>
    <row r="1" spans="1:50" ht="21" customHeight="1" x14ac:dyDescent="0.25">
      <c r="A1" s="43" t="s">
        <v>1214</v>
      </c>
      <c r="B1" s="43"/>
      <c r="C1" s="43"/>
      <c r="D1" s="43"/>
      <c r="E1" s="43"/>
    </row>
    <row r="2" spans="1:50" s="19" customFormat="1" ht="10.35" customHeight="1" x14ac:dyDescent="0.25">
      <c r="A2" s="21"/>
      <c r="B2" s="22"/>
      <c r="C2" s="22"/>
      <c r="D2" s="22"/>
    </row>
    <row r="3" spans="1:50" ht="15" customHeight="1" x14ac:dyDescent="0.25">
      <c r="A3" s="46" t="s">
        <v>69</v>
      </c>
      <c r="B3" s="46"/>
      <c r="C3" s="46"/>
      <c r="D3" s="46"/>
      <c r="E3" s="46"/>
      <c r="F3" s="46"/>
      <c r="G3" s="46"/>
      <c r="H3" s="46"/>
      <c r="I3" s="46"/>
      <c r="J3" s="46"/>
      <c r="K3" s="34"/>
      <c r="L3" s="34"/>
      <c r="M3" s="44" t="s">
        <v>1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 t="s">
        <v>2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8" t="s">
        <v>3</v>
      </c>
      <c r="AQ3" s="49"/>
      <c r="AR3" s="49"/>
      <c r="AS3" s="49"/>
      <c r="AT3" s="49"/>
      <c r="AU3" s="50"/>
      <c r="AV3" s="47" t="s">
        <v>58</v>
      </c>
      <c r="AW3" s="47"/>
      <c r="AX3" s="47"/>
    </row>
    <row r="4" spans="1:50" ht="25.5" x14ac:dyDescent="0.25">
      <c r="A4" s="29" t="s">
        <v>63</v>
      </c>
      <c r="B4" s="29" t="s">
        <v>4</v>
      </c>
      <c r="C4" s="29" t="s">
        <v>5</v>
      </c>
      <c r="D4" s="29" t="s">
        <v>64</v>
      </c>
      <c r="E4" s="29" t="s">
        <v>65</v>
      </c>
      <c r="F4" s="29" t="s">
        <v>6</v>
      </c>
      <c r="G4" s="29" t="s">
        <v>7</v>
      </c>
      <c r="H4" s="29" t="s">
        <v>66</v>
      </c>
      <c r="I4" s="29" t="s">
        <v>67</v>
      </c>
      <c r="J4" s="29" t="s">
        <v>68</v>
      </c>
      <c r="K4" s="35" t="s">
        <v>56</v>
      </c>
      <c r="L4" s="35" t="s">
        <v>57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62</v>
      </c>
      <c r="AO4" s="29" t="s">
        <v>36</v>
      </c>
      <c r="AP4" s="37" t="s">
        <v>70</v>
      </c>
      <c r="AQ4" s="37" t="s">
        <v>71</v>
      </c>
      <c r="AR4" s="37" t="s">
        <v>72</v>
      </c>
      <c r="AS4" s="37" t="s">
        <v>73</v>
      </c>
      <c r="AT4" s="37" t="s">
        <v>74</v>
      </c>
      <c r="AU4" s="41" t="s">
        <v>75</v>
      </c>
      <c r="AV4" s="39" t="s">
        <v>59</v>
      </c>
      <c r="AW4" s="39" t="s">
        <v>60</v>
      </c>
      <c r="AX4" s="39" t="s">
        <v>61</v>
      </c>
    </row>
    <row r="5" spans="1:50" x14ac:dyDescent="0.25">
      <c r="A5" s="31">
        <v>150</v>
      </c>
      <c r="B5" s="32" t="s">
        <v>8</v>
      </c>
      <c r="C5" s="32" t="s">
        <v>911</v>
      </c>
      <c r="D5" s="32" t="s">
        <v>912</v>
      </c>
      <c r="E5" s="32" t="s">
        <v>913</v>
      </c>
      <c r="F5" s="32">
        <v>33.038459000000003</v>
      </c>
      <c r="G5" s="32">
        <v>40.293291000000004</v>
      </c>
      <c r="H5" s="32" t="s">
        <v>81</v>
      </c>
      <c r="I5" s="32" t="s">
        <v>914</v>
      </c>
      <c r="J5" s="32" t="s">
        <v>915</v>
      </c>
      <c r="K5" s="33">
        <v>284</v>
      </c>
      <c r="L5" s="33">
        <v>1704</v>
      </c>
      <c r="M5" s="33">
        <v>91</v>
      </c>
      <c r="N5" s="33"/>
      <c r="O5" s="33"/>
      <c r="P5" s="33"/>
      <c r="Q5" s="33"/>
      <c r="R5" s="33"/>
      <c r="S5" s="33">
        <v>193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284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>
        <v>193</v>
      </c>
      <c r="AR5" s="33"/>
      <c r="AS5" s="33"/>
      <c r="AT5" s="33"/>
      <c r="AU5" s="33">
        <v>91</v>
      </c>
      <c r="AV5" s="38" t="str">
        <f>HYPERLINK("http://www.openstreetmap.org/?mlat=33.0385&amp;mlon=40.2933&amp;zoom=12#map=12/33.0385/40.2933","Maplink1")</f>
        <v>Maplink1</v>
      </c>
      <c r="AW5" s="38" t="str">
        <f>HYPERLINK("https://www.google.iq/maps/search/+33.0385,40.2933/@33.0385,40.2933,14z?hl=en","Maplink2")</f>
        <v>Maplink2</v>
      </c>
      <c r="AX5" s="38" t="str">
        <f>HYPERLINK("http://www.bing.com/maps/?lvl=14&amp;sty=h&amp;cp=33.0385~40.2933&amp;sp=point.33.0385_40.2933_Al Haara","Maplink3")</f>
        <v>Maplink3</v>
      </c>
    </row>
    <row r="6" spans="1:50" x14ac:dyDescent="0.25">
      <c r="A6" s="9">
        <v>167</v>
      </c>
      <c r="B6" s="10" t="s">
        <v>8</v>
      </c>
      <c r="C6" s="10" t="s">
        <v>911</v>
      </c>
      <c r="D6" s="10" t="s">
        <v>916</v>
      </c>
      <c r="E6" s="10" t="s">
        <v>917</v>
      </c>
      <c r="F6" s="10">
        <v>33.041953999999997</v>
      </c>
      <c r="G6" s="10">
        <v>40.275979999999997</v>
      </c>
      <c r="H6" s="10" t="s">
        <v>81</v>
      </c>
      <c r="I6" s="10" t="s">
        <v>914</v>
      </c>
      <c r="J6" s="10" t="s">
        <v>918</v>
      </c>
      <c r="K6" s="11">
        <v>600</v>
      </c>
      <c r="L6" s="11">
        <v>3600</v>
      </c>
      <c r="M6" s="11">
        <v>370</v>
      </c>
      <c r="N6" s="11"/>
      <c r="O6" s="11">
        <v>230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600</v>
      </c>
      <c r="AG6" s="11"/>
      <c r="AH6" s="11"/>
      <c r="AI6" s="11"/>
      <c r="AJ6" s="11"/>
      <c r="AK6" s="11"/>
      <c r="AL6" s="11"/>
      <c r="AM6" s="11"/>
      <c r="AN6" s="11"/>
      <c r="AO6" s="11"/>
      <c r="AP6" s="11">
        <v>230</v>
      </c>
      <c r="AQ6" s="11"/>
      <c r="AR6" s="11"/>
      <c r="AS6" s="11"/>
      <c r="AT6" s="11"/>
      <c r="AU6" s="11">
        <v>370</v>
      </c>
      <c r="AV6" s="20" t="str">
        <f>HYPERLINK("http://www.openstreetmap.org/?mlat=33.042&amp;mlon=40.276&amp;zoom=12#map=12/33.042/40.276","Maplink1")</f>
        <v>Maplink1</v>
      </c>
      <c r="AW6" s="20" t="str">
        <f>HYPERLINK("https://www.google.iq/maps/search/+33.042,40.276/@33.042,40.276,14z?hl=en","Maplink2")</f>
        <v>Maplink2</v>
      </c>
      <c r="AX6" s="20" t="str">
        <f>HYPERLINK("http://www.bing.com/maps/?lvl=14&amp;sty=h&amp;cp=33.042~40.276&amp;sp=point.33.042_40.276_Antesar","Maplink3")</f>
        <v>Maplink3</v>
      </c>
    </row>
    <row r="7" spans="1:50" x14ac:dyDescent="0.25">
      <c r="A7" s="9">
        <v>233</v>
      </c>
      <c r="B7" s="10" t="s">
        <v>8</v>
      </c>
      <c r="C7" s="10" t="s">
        <v>911</v>
      </c>
      <c r="D7" s="10" t="s">
        <v>919</v>
      </c>
      <c r="E7" s="10" t="s">
        <v>451</v>
      </c>
      <c r="F7" s="10">
        <v>33.038566000000003</v>
      </c>
      <c r="G7" s="10">
        <v>40.285538000000003</v>
      </c>
      <c r="H7" s="10" t="s">
        <v>81</v>
      </c>
      <c r="I7" s="10" t="s">
        <v>914</v>
      </c>
      <c r="J7" s="10" t="s">
        <v>920</v>
      </c>
      <c r="K7" s="11">
        <v>432</v>
      </c>
      <c r="L7" s="11">
        <v>2592</v>
      </c>
      <c r="M7" s="11">
        <v>245</v>
      </c>
      <c r="N7" s="11"/>
      <c r="O7" s="11">
        <v>187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432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>
        <v>187</v>
      </c>
      <c r="AT7" s="11"/>
      <c r="AU7" s="11">
        <v>245</v>
      </c>
      <c r="AV7" s="20" t="str">
        <f>HYPERLINK("http://www.openstreetmap.org/?mlat=33.0386&amp;mlon=40.2855&amp;zoom=12#map=12/33.0386/40.2855","Maplink1")</f>
        <v>Maplink1</v>
      </c>
      <c r="AW7" s="20" t="str">
        <f>HYPERLINK("https://www.google.iq/maps/search/+33.0386,40.2855/@33.0386,40.2855,14z?hl=en","Maplink2")</f>
        <v>Maplink2</v>
      </c>
      <c r="AX7" s="20" t="str">
        <f>HYPERLINK("http://www.bing.com/maps/?lvl=14&amp;sty=h&amp;cp=33.0386~40.2855&amp;sp=point.33.0386_40.2855_Hay Al-Matar","Maplink3")</f>
        <v>Maplink3</v>
      </c>
    </row>
    <row r="8" spans="1:50" x14ac:dyDescent="0.25">
      <c r="A8" s="9">
        <v>23888</v>
      </c>
      <c r="B8" s="10" t="s">
        <v>8</v>
      </c>
      <c r="C8" s="10" t="s">
        <v>911</v>
      </c>
      <c r="D8" s="10" t="s">
        <v>921</v>
      </c>
      <c r="E8" s="10" t="s">
        <v>922</v>
      </c>
      <c r="F8" s="10">
        <v>33.037021000000003</v>
      </c>
      <c r="G8" s="10">
        <v>40.279730999999998</v>
      </c>
      <c r="H8" s="10" t="s">
        <v>81</v>
      </c>
      <c r="I8" s="10" t="s">
        <v>914</v>
      </c>
      <c r="J8" s="10" t="s">
        <v>923</v>
      </c>
      <c r="K8" s="11">
        <v>384</v>
      </c>
      <c r="L8" s="11">
        <v>2304</v>
      </c>
      <c r="M8" s="11">
        <v>210</v>
      </c>
      <c r="N8" s="11"/>
      <c r="O8" s="11"/>
      <c r="P8" s="11"/>
      <c r="Q8" s="11"/>
      <c r="R8" s="11"/>
      <c r="S8" s="11">
        <v>174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384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>
        <v>174</v>
      </c>
      <c r="AR8" s="11"/>
      <c r="AS8" s="11"/>
      <c r="AT8" s="11"/>
      <c r="AU8" s="11">
        <v>210</v>
      </c>
      <c r="AV8" s="20" t="str">
        <f>HYPERLINK("http://www.openstreetmap.org/?mlat=33.037&amp;mlon=40.2797&amp;zoom=12#map=12/33.037/40.2797","Maplink1")</f>
        <v>Maplink1</v>
      </c>
      <c r="AW8" s="20" t="str">
        <f>HYPERLINK("https://www.google.iq/maps/search/+33.037,40.2797/@33.037,40.2797,14z?hl=en","Maplink2")</f>
        <v>Maplink2</v>
      </c>
      <c r="AX8" s="20" t="str">
        <f>HYPERLINK("http://www.bing.com/maps/?lvl=14&amp;sty=h&amp;cp=33.037~40.2797&amp;sp=point.33.037_40.2797_Gharb Al-Wadi","Maplink3")</f>
        <v>Maplink3</v>
      </c>
    </row>
    <row r="9" spans="1:50" x14ac:dyDescent="0.25">
      <c r="A9" s="9">
        <v>122</v>
      </c>
      <c r="B9" s="10" t="s">
        <v>8</v>
      </c>
      <c r="C9" s="10" t="s">
        <v>78</v>
      </c>
      <c r="D9" s="10" t="s">
        <v>79</v>
      </c>
      <c r="E9" s="10" t="s">
        <v>80</v>
      </c>
      <c r="F9" s="10">
        <v>33.362133</v>
      </c>
      <c r="G9" s="10">
        <v>43.780704999999998</v>
      </c>
      <c r="H9" s="10" t="s">
        <v>81</v>
      </c>
      <c r="I9" s="10" t="s">
        <v>82</v>
      </c>
      <c r="J9" s="10" t="s">
        <v>83</v>
      </c>
      <c r="K9" s="11">
        <v>45</v>
      </c>
      <c r="L9" s="11">
        <v>270</v>
      </c>
      <c r="M9" s="11">
        <v>45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45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>
        <v>45</v>
      </c>
      <c r="AT9" s="11"/>
      <c r="AU9" s="11"/>
      <c r="AV9" s="20" t="str">
        <f>HYPERLINK("http://www.openstreetmap.org/?mlat=33.35&amp;mlon=43.78&amp;zoom=12#map=12/33.35/43.78","Maplink1")</f>
        <v>Maplink1</v>
      </c>
      <c r="AW9" s="20" t="str">
        <f>HYPERLINK("https://www.google.iq/maps/search/+33.35,43.78/@33.35,43.78,14z?hl=en","Maplink2")</f>
        <v>Maplink2</v>
      </c>
      <c r="AX9" s="20" t="str">
        <f>HYPERLINK("http://www.bing.com/maps/?lvl=14&amp;sty=h&amp;cp=33.35~43.78&amp;sp=point.33.35_43.78_Al Mualmeen","Maplink3")</f>
        <v>Maplink3</v>
      </c>
    </row>
    <row r="10" spans="1:50" x14ac:dyDescent="0.25">
      <c r="A10" s="9">
        <v>169</v>
      </c>
      <c r="B10" s="10" t="s">
        <v>8</v>
      </c>
      <c r="C10" s="10" t="s">
        <v>78</v>
      </c>
      <c r="D10" s="10" t="s">
        <v>84</v>
      </c>
      <c r="E10" s="10" t="s">
        <v>85</v>
      </c>
      <c r="F10" s="10">
        <v>33.364052999999998</v>
      </c>
      <c r="G10" s="10">
        <v>43.789718999999998</v>
      </c>
      <c r="H10" s="10" t="s">
        <v>81</v>
      </c>
      <c r="I10" s="10" t="s">
        <v>82</v>
      </c>
      <c r="J10" s="10" t="s">
        <v>86</v>
      </c>
      <c r="K10" s="11">
        <v>196</v>
      </c>
      <c r="L10" s="11">
        <v>1176</v>
      </c>
      <c r="M10" s="11">
        <v>196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196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>
        <v>35</v>
      </c>
      <c r="AT10" s="11">
        <v>161</v>
      </c>
      <c r="AU10" s="11"/>
      <c r="AV10" s="20" t="str">
        <f>HYPERLINK("http://www.openstreetmap.org/?mlat=33.3563&amp;mlon=43.7943&amp;zoom=12#map=12/33.3563/43.7943","Maplink1")</f>
        <v>Maplink1</v>
      </c>
      <c r="AW10" s="20" t="str">
        <f>HYPERLINK("https://www.google.iq/maps/search/+33.3563,43.7943/@33.3563,43.7943,14z?hl=en","Maplink2")</f>
        <v>Maplink2</v>
      </c>
      <c r="AX10" s="20" t="str">
        <f>HYPERLINK("http://www.bing.com/maps/?lvl=14&amp;sty=h&amp;cp=33.3563~43.7943&amp;sp=point.33.3563_43.7943_Al Shurta","Maplink3")</f>
        <v>Maplink3</v>
      </c>
    </row>
    <row r="11" spans="1:50" x14ac:dyDescent="0.25">
      <c r="A11" s="9">
        <v>207</v>
      </c>
      <c r="B11" s="10" t="s">
        <v>8</v>
      </c>
      <c r="C11" s="10" t="s">
        <v>78</v>
      </c>
      <c r="D11" s="10" t="s">
        <v>87</v>
      </c>
      <c r="E11" s="10" t="s">
        <v>88</v>
      </c>
      <c r="F11" s="10">
        <v>33.345337000000001</v>
      </c>
      <c r="G11" s="10">
        <v>43.757173000000002</v>
      </c>
      <c r="H11" s="10" t="s">
        <v>81</v>
      </c>
      <c r="I11" s="10" t="s">
        <v>82</v>
      </c>
      <c r="J11" s="10" t="s">
        <v>89</v>
      </c>
      <c r="K11" s="11">
        <v>50</v>
      </c>
      <c r="L11" s="11">
        <v>300</v>
      </c>
      <c r="M11" s="11">
        <v>50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50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>
        <v>50</v>
      </c>
      <c r="AT11" s="11"/>
      <c r="AU11" s="11"/>
      <c r="AV11" s="20" t="str">
        <f>HYPERLINK("http://www.openstreetmap.org/?mlat=33.3453&amp;mlon=43.7572&amp;zoom=12#map=12/33.3453/43.7572","Maplink1")</f>
        <v>Maplink1</v>
      </c>
      <c r="AW11" s="20" t="str">
        <f>HYPERLINK("https://www.google.iq/maps/search/+33.3453,43.7572/@33.3453,43.7572,14z?hl=en","Maplink2")</f>
        <v>Maplink2</v>
      </c>
      <c r="AX11" s="20" t="str">
        <f>HYPERLINK("http://www.bing.com/maps/?lvl=14&amp;sty=h&amp;cp=33.3453~43.7572&amp;sp=point.33.3453_43.7572_Al-Akrad","Maplink3")</f>
        <v>Maplink3</v>
      </c>
    </row>
    <row r="12" spans="1:50" x14ac:dyDescent="0.25">
      <c r="A12" s="9">
        <v>176</v>
      </c>
      <c r="B12" s="10" t="s">
        <v>8</v>
      </c>
      <c r="C12" s="10" t="s">
        <v>78</v>
      </c>
      <c r="D12" s="10" t="s">
        <v>90</v>
      </c>
      <c r="E12" s="10" t="s">
        <v>91</v>
      </c>
      <c r="F12" s="10">
        <v>33.349815999999997</v>
      </c>
      <c r="G12" s="10">
        <v>43.772097000000002</v>
      </c>
      <c r="H12" s="10" t="s">
        <v>81</v>
      </c>
      <c r="I12" s="10" t="s">
        <v>82</v>
      </c>
      <c r="J12" s="10" t="s">
        <v>92</v>
      </c>
      <c r="K12" s="11">
        <v>171</v>
      </c>
      <c r="L12" s="11">
        <v>1026</v>
      </c>
      <c r="M12" s="11">
        <v>171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171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>
        <v>25</v>
      </c>
      <c r="AT12" s="11">
        <v>146</v>
      </c>
      <c r="AU12" s="11"/>
      <c r="AV12" s="20" t="str">
        <f>HYPERLINK("http://www.openstreetmap.org/?mlat=33.3476&amp;mlon=43.7633&amp;zoom=12#map=12/33.3476/43.7633","Maplink1")</f>
        <v>Maplink1</v>
      </c>
      <c r="AW12" s="20" t="str">
        <f>HYPERLINK("https://www.google.iq/maps/search/+33.3476,43.7633/@33.3476,43.7633,14z?hl=en","Maplink2")</f>
        <v>Maplink2</v>
      </c>
      <c r="AX12" s="20" t="str">
        <f>HYPERLINK("http://www.bing.com/maps/?lvl=14&amp;sty=h&amp;cp=33.3476~43.7633&amp;sp=point.33.3476_43.7633_Al-andalus","Maplink3")</f>
        <v>Maplink3</v>
      </c>
    </row>
    <row r="13" spans="1:50" x14ac:dyDescent="0.25">
      <c r="A13" s="9">
        <v>177</v>
      </c>
      <c r="B13" s="10" t="s">
        <v>8</v>
      </c>
      <c r="C13" s="10" t="s">
        <v>78</v>
      </c>
      <c r="D13" s="10" t="s">
        <v>93</v>
      </c>
      <c r="E13" s="10" t="s">
        <v>94</v>
      </c>
      <c r="F13" s="10">
        <v>33.352469999999997</v>
      </c>
      <c r="G13" s="10">
        <v>43.767167999999998</v>
      </c>
      <c r="H13" s="10" t="s">
        <v>81</v>
      </c>
      <c r="I13" s="10" t="s">
        <v>82</v>
      </c>
      <c r="J13" s="10" t="s">
        <v>95</v>
      </c>
      <c r="K13" s="11">
        <v>248</v>
      </c>
      <c r="L13" s="11">
        <v>1488</v>
      </c>
      <c r="M13" s="11">
        <v>248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248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>
        <v>68</v>
      </c>
      <c r="AT13" s="11">
        <v>180</v>
      </c>
      <c r="AU13" s="11"/>
      <c r="AV13" s="20" t="str">
        <f>HYPERLINK("http://www.openstreetmap.org/?mlat=33.3518&amp;mlon=43.7689&amp;zoom=12#map=12/33.3518/43.7689","Maplink1")</f>
        <v>Maplink1</v>
      </c>
      <c r="AW13" s="20" t="str">
        <f>HYPERLINK("https://www.google.iq/maps/search/+33.3518,43.7689/@33.3518,43.7689,14z?hl=en","Maplink2")</f>
        <v>Maplink2</v>
      </c>
      <c r="AX13" s="20" t="str">
        <f>HYPERLINK("http://www.bing.com/maps/?lvl=14&amp;sty=h&amp;cp=33.3518~43.7689&amp;sp=point.33.3518_43.7689_Al-bazara","Maplink3")</f>
        <v>Maplink3</v>
      </c>
    </row>
    <row r="14" spans="1:50" x14ac:dyDescent="0.25">
      <c r="A14" s="9">
        <v>299</v>
      </c>
      <c r="B14" s="10" t="s">
        <v>8</v>
      </c>
      <c r="C14" s="10" t="s">
        <v>78</v>
      </c>
      <c r="D14" s="10" t="s">
        <v>96</v>
      </c>
      <c r="E14" s="10" t="s">
        <v>97</v>
      </c>
      <c r="F14" s="10">
        <v>33.361091000000002</v>
      </c>
      <c r="G14" s="10">
        <v>43.764626</v>
      </c>
      <c r="H14" s="10" t="s">
        <v>81</v>
      </c>
      <c r="I14" s="10" t="s">
        <v>82</v>
      </c>
      <c r="J14" s="10" t="s">
        <v>98</v>
      </c>
      <c r="K14" s="11">
        <v>192</v>
      </c>
      <c r="L14" s="11">
        <v>1152</v>
      </c>
      <c r="M14" s="11">
        <v>192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192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>
        <v>55</v>
      </c>
      <c r="AT14" s="11">
        <v>137</v>
      </c>
      <c r="AU14" s="11"/>
      <c r="AV14" s="20" t="str">
        <f>HYPERLINK("http://www.openstreetmap.org/?mlat=33.3611&amp;mlon=43.7646&amp;zoom=12#map=12/33.3611/43.7646","Maplink1")</f>
        <v>Maplink1</v>
      </c>
      <c r="AW14" s="20" t="str">
        <f>HYPERLINK("https://www.google.iq/maps/search/+33.3611,43.7646/@33.3611,43.7646,14z?hl=en","Maplink2")</f>
        <v>Maplink2</v>
      </c>
      <c r="AX14" s="20" t="str">
        <f>HYPERLINK("http://www.bing.com/maps/?lvl=14&amp;sty=h&amp;cp=33.3611~43.7646&amp;sp=point.33.3611_43.7646_Al-Julan","Maplink3")</f>
        <v>Maplink3</v>
      </c>
    </row>
    <row r="15" spans="1:50" x14ac:dyDescent="0.25">
      <c r="A15" s="9">
        <v>178</v>
      </c>
      <c r="B15" s="10" t="s">
        <v>8</v>
      </c>
      <c r="C15" s="10" t="s">
        <v>78</v>
      </c>
      <c r="D15" s="10" t="s">
        <v>99</v>
      </c>
      <c r="E15" s="10" t="s">
        <v>100</v>
      </c>
      <c r="F15" s="10">
        <v>33.354215000000003</v>
      </c>
      <c r="G15" s="10">
        <v>43.761924</v>
      </c>
      <c r="H15" s="10" t="s">
        <v>81</v>
      </c>
      <c r="I15" s="10" t="s">
        <v>82</v>
      </c>
      <c r="J15" s="10" t="s">
        <v>101</v>
      </c>
      <c r="K15" s="11">
        <v>20</v>
      </c>
      <c r="L15" s="11">
        <v>120</v>
      </c>
      <c r="M15" s="11">
        <v>20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20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>
        <v>20</v>
      </c>
      <c r="AT15" s="11"/>
      <c r="AU15" s="11"/>
      <c r="AV15" s="20" t="str">
        <f>HYPERLINK("http://www.openstreetmap.org/?mlat=33.3549&amp;mlon=43.7634&amp;zoom=12#map=12/33.3549/43.7634","Maplink1")</f>
        <v>Maplink1</v>
      </c>
      <c r="AW15" s="20" t="str">
        <f>HYPERLINK("https://www.google.iq/maps/search/+33.3549,43.7634/@33.3549,43.7634,14z?hl=en","Maplink2")</f>
        <v>Maplink2</v>
      </c>
      <c r="AX15" s="20" t="str">
        <f>HYPERLINK("http://www.bing.com/maps/?lvl=14&amp;sty=h&amp;cp=33.3549~43.7634&amp;sp=point.33.3549_43.7634_Al-muatasem","Maplink3")</f>
        <v>Maplink3</v>
      </c>
    </row>
    <row r="16" spans="1:50" x14ac:dyDescent="0.25">
      <c r="A16" s="9">
        <v>148</v>
      </c>
      <c r="B16" s="10" t="s">
        <v>8</v>
      </c>
      <c r="C16" s="10" t="s">
        <v>78</v>
      </c>
      <c r="D16" s="10" t="s">
        <v>102</v>
      </c>
      <c r="E16" s="10" t="s">
        <v>103</v>
      </c>
      <c r="F16" s="10">
        <v>33.357218000000003</v>
      </c>
      <c r="G16" s="10">
        <v>43.773294</v>
      </c>
      <c r="H16" s="10" t="s">
        <v>81</v>
      </c>
      <c r="I16" s="10" t="s">
        <v>82</v>
      </c>
      <c r="J16" s="10" t="s">
        <v>104</v>
      </c>
      <c r="K16" s="11">
        <v>64</v>
      </c>
      <c r="L16" s="11">
        <v>384</v>
      </c>
      <c r="M16" s="11">
        <v>64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64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>
        <v>64</v>
      </c>
      <c r="AT16" s="11"/>
      <c r="AU16" s="11"/>
      <c r="AV16" s="20" t="str">
        <f>HYPERLINK("http://www.openstreetmap.org/?mlat=33.3574&amp;mlon=43.7752&amp;zoom=12#map=12/33.3574/43.7752","Maplink1")</f>
        <v>Maplink1</v>
      </c>
      <c r="AW16" s="20" t="str">
        <f>HYPERLINK("https://www.google.iq/maps/search/+33.3574,43.7752/@33.3574,43.7752,14z?hl=en","Maplink2")</f>
        <v>Maplink2</v>
      </c>
      <c r="AX16" s="20" t="str">
        <f>HYPERLINK("http://www.bing.com/maps/?lvl=14&amp;sty=h&amp;cp=33.3574~43.7752&amp;sp=point.33.3574_43.7752_Al-waheda","Maplink3")</f>
        <v>Maplink3</v>
      </c>
    </row>
    <row r="17" spans="1:50" x14ac:dyDescent="0.25">
      <c r="A17" s="9">
        <v>175</v>
      </c>
      <c r="B17" s="10" t="s">
        <v>8</v>
      </c>
      <c r="C17" s="10" t="s">
        <v>78</v>
      </c>
      <c r="D17" s="10" t="s">
        <v>105</v>
      </c>
      <c r="E17" s="10" t="s">
        <v>106</v>
      </c>
      <c r="F17" s="10">
        <v>33.340237000000002</v>
      </c>
      <c r="G17" s="10">
        <v>43.775378000000003</v>
      </c>
      <c r="H17" s="10" t="s">
        <v>81</v>
      </c>
      <c r="I17" s="10" t="s">
        <v>82</v>
      </c>
      <c r="J17" s="10" t="s">
        <v>107</v>
      </c>
      <c r="K17" s="11">
        <v>18</v>
      </c>
      <c r="L17" s="11">
        <v>108</v>
      </c>
      <c r="M17" s="11">
        <v>18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18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>
        <v>18</v>
      </c>
      <c r="AT17" s="11"/>
      <c r="AU17" s="11"/>
      <c r="AV17" s="20" t="str">
        <f>HYPERLINK("http://www.openstreetmap.org/?mlat=33.3446&amp;mlon=43.7734&amp;zoom=12#map=12/33.3446/43.7734","Maplink1")</f>
        <v>Maplink1</v>
      </c>
      <c r="AW17" s="20" t="str">
        <f>HYPERLINK("https://www.google.iq/maps/search/+33.3446,43.7734/@33.3446,43.7734,14z?hl=en","Maplink2")</f>
        <v>Maplink2</v>
      </c>
      <c r="AX17" s="20" t="str">
        <f>HYPERLINK("http://www.bing.com/maps/?lvl=14&amp;sty=h&amp;cp=33.3446~43.7734&amp;sp=point.33.3446_43.7734_Hay Al-Resala","Maplink3")</f>
        <v>Maplink3</v>
      </c>
    </row>
    <row r="18" spans="1:50" x14ac:dyDescent="0.25">
      <c r="A18" s="9">
        <v>157</v>
      </c>
      <c r="B18" s="10" t="s">
        <v>8</v>
      </c>
      <c r="C18" s="10" t="s">
        <v>78</v>
      </c>
      <c r="D18" s="10" t="s">
        <v>108</v>
      </c>
      <c r="E18" s="10" t="s">
        <v>109</v>
      </c>
      <c r="F18" s="10">
        <v>33.361175000000003</v>
      </c>
      <c r="G18" s="10">
        <v>43.783220999999998</v>
      </c>
      <c r="H18" s="10" t="s">
        <v>81</v>
      </c>
      <c r="I18" s="10" t="s">
        <v>82</v>
      </c>
      <c r="J18" s="10" t="s">
        <v>110</v>
      </c>
      <c r="K18" s="11">
        <v>256</v>
      </c>
      <c r="L18" s="11">
        <v>1536</v>
      </c>
      <c r="M18" s="11">
        <v>256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256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>
        <v>40</v>
      </c>
      <c r="AT18" s="11">
        <v>216</v>
      </c>
      <c r="AU18" s="11"/>
      <c r="AV18" s="20" t="str">
        <f>HYPERLINK("http://www.openstreetmap.org/?mlat=33.3636&amp;mlon=43.7818&amp;zoom=12#map=12/33.3636/43.7818","Maplink1")</f>
        <v>Maplink1</v>
      </c>
      <c r="AW18" s="20" t="str">
        <f>HYPERLINK("https://www.google.iq/maps/search/+33.3636,43.7818/@33.3636,43.7818,14z?hl=en","Maplink2")</f>
        <v>Maplink2</v>
      </c>
      <c r="AX18" s="20" t="str">
        <f>HYPERLINK("http://www.bing.com/maps/?lvl=14&amp;sty=h&amp;cp=33.3636~43.7818&amp;sp=point.33.3636_43.7818_Muallimeen-2","Maplink3")</f>
        <v>Maplink3</v>
      </c>
    </row>
    <row r="19" spans="1:50" x14ac:dyDescent="0.25">
      <c r="A19" s="9">
        <v>121</v>
      </c>
      <c r="B19" s="10" t="s">
        <v>8</v>
      </c>
      <c r="C19" s="10" t="s">
        <v>78</v>
      </c>
      <c r="D19" s="10" t="s">
        <v>111</v>
      </c>
      <c r="E19" s="10" t="s">
        <v>112</v>
      </c>
      <c r="F19" s="10">
        <v>43.781768999999997</v>
      </c>
      <c r="G19" s="10">
        <v>33.34704</v>
      </c>
      <c r="H19" s="10" t="s">
        <v>81</v>
      </c>
      <c r="I19" s="10" t="s">
        <v>82</v>
      </c>
      <c r="J19" s="10" t="s">
        <v>113</v>
      </c>
      <c r="K19" s="11">
        <v>123</v>
      </c>
      <c r="L19" s="11">
        <v>738</v>
      </c>
      <c r="M19" s="11">
        <v>123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123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>
        <v>26</v>
      </c>
      <c r="AT19" s="11">
        <v>97</v>
      </c>
      <c r="AU19" s="11"/>
      <c r="AV19" s="20" t="str">
        <f>HYPERLINK("http://www.openstreetmap.org/?mlat=33.34&amp;mlon=43.78&amp;zoom=12#map=12/33.34/43.78","Maplink1")</f>
        <v>Maplink1</v>
      </c>
      <c r="AW19" s="20" t="str">
        <f>HYPERLINK("https://www.google.iq/maps/search/+33.34,43.78/@33.34,43.78,14z?hl=en","Maplink2")</f>
        <v>Maplink2</v>
      </c>
      <c r="AX19" s="20" t="str">
        <f>HYPERLINK("http://www.bing.com/maps/?lvl=14&amp;sty=h&amp;cp=33.34~43.78&amp;sp=point.33.34_43.78_Nazal","Maplink3")</f>
        <v>Maplink3</v>
      </c>
    </row>
    <row r="20" spans="1:50" x14ac:dyDescent="0.25">
      <c r="A20" s="9">
        <v>100</v>
      </c>
      <c r="B20" s="10" t="s">
        <v>8</v>
      </c>
      <c r="C20" s="10" t="s">
        <v>114</v>
      </c>
      <c r="D20" s="10" t="s">
        <v>115</v>
      </c>
      <c r="E20" s="10" t="s">
        <v>116</v>
      </c>
      <c r="F20" s="10">
        <v>33.508547</v>
      </c>
      <c r="G20" s="10">
        <v>42.963500000000003</v>
      </c>
      <c r="H20" s="10" t="s">
        <v>81</v>
      </c>
      <c r="I20" s="10" t="s">
        <v>117</v>
      </c>
      <c r="J20" s="10" t="s">
        <v>118</v>
      </c>
      <c r="K20" s="11">
        <v>648</v>
      </c>
      <c r="L20" s="11">
        <v>3888</v>
      </c>
      <c r="M20" s="11">
        <v>558</v>
      </c>
      <c r="N20" s="11"/>
      <c r="O20" s="11">
        <v>90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648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>
        <v>558</v>
      </c>
      <c r="AR20" s="11"/>
      <c r="AS20" s="11">
        <v>90</v>
      </c>
      <c r="AT20" s="11"/>
      <c r="AU20" s="11"/>
      <c r="AV20" s="20" t="str">
        <f>HYPERLINK("http://www.openstreetmap.org/?mlat=33.5085&amp;mlon=42.9635&amp;zoom=12#map=12/33.5085/42.9635","Maplink1")</f>
        <v>Maplink1</v>
      </c>
      <c r="AW20" s="20" t="str">
        <f>HYPERLINK("https://www.google.iq/maps/search/+33.5085,42.9635/@33.5085,42.9635,14z?hl=en","Maplink2")</f>
        <v>Maplink2</v>
      </c>
      <c r="AX20" s="20" t="str">
        <f>HYPERLINK("http://www.bing.com/maps/?lvl=14&amp;sty=h&amp;cp=33.5085~42.9635&amp;sp=point.33.5085_42.9635_Abu Tibban","Maplink3")</f>
        <v>Maplink3</v>
      </c>
    </row>
    <row r="21" spans="1:50" x14ac:dyDescent="0.25">
      <c r="A21" s="9">
        <v>24113</v>
      </c>
      <c r="B21" s="10" t="s">
        <v>8</v>
      </c>
      <c r="C21" s="10" t="s">
        <v>114</v>
      </c>
      <c r="D21" s="10" t="s">
        <v>1074</v>
      </c>
      <c r="E21" s="10" t="s">
        <v>1075</v>
      </c>
      <c r="F21" s="10">
        <v>33.641776</v>
      </c>
      <c r="G21" s="10">
        <v>42.827755000000003</v>
      </c>
      <c r="H21" s="10" t="s">
        <v>81</v>
      </c>
      <c r="I21" s="10" t="s">
        <v>117</v>
      </c>
      <c r="J21" s="10" t="s">
        <v>1076</v>
      </c>
      <c r="K21" s="11">
        <v>230</v>
      </c>
      <c r="L21" s="11">
        <v>1380</v>
      </c>
      <c r="M21" s="11">
        <v>230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230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>
        <v>145</v>
      </c>
      <c r="AT21" s="11"/>
      <c r="AU21" s="11">
        <v>85</v>
      </c>
      <c r="AV21" s="20" t="str">
        <f>HYPERLINK("http://www.openstreetmap.org/?mlat=33.6418&amp;mlon=42.8278&amp;zoom=12#map=12/33.6418/42.8278","Maplink1")</f>
        <v>Maplink1</v>
      </c>
      <c r="AW21" s="20" t="str">
        <f>HYPERLINK("https://www.google.iq/maps/search/+33.6418,42.8278/@33.6418,42.8278,14z?hl=en","Maplink2")</f>
        <v>Maplink2</v>
      </c>
      <c r="AX21" s="20" t="str">
        <f>HYPERLINK("http://www.bing.com/maps/?lvl=14&amp;sty=h&amp;cp=33.6418~42.8278&amp;sp=point.33.6418_42.8278_Al Salkah","Maplink3")</f>
        <v>Maplink3</v>
      </c>
    </row>
    <row r="22" spans="1:50" x14ac:dyDescent="0.25">
      <c r="A22" s="9">
        <v>24114</v>
      </c>
      <c r="B22" s="10" t="s">
        <v>8</v>
      </c>
      <c r="C22" s="10" t="s">
        <v>114</v>
      </c>
      <c r="D22" s="10" t="s">
        <v>119</v>
      </c>
      <c r="E22" s="10" t="s">
        <v>120</v>
      </c>
      <c r="F22" s="10">
        <v>33.593634000000002</v>
      </c>
      <c r="G22" s="10">
        <v>42.614089</v>
      </c>
      <c r="H22" s="10" t="s">
        <v>81</v>
      </c>
      <c r="I22" s="10" t="s">
        <v>117</v>
      </c>
      <c r="J22" s="10" t="s">
        <v>121</v>
      </c>
      <c r="K22" s="11">
        <v>173</v>
      </c>
      <c r="L22" s="11">
        <v>1038</v>
      </c>
      <c r="M22" s="11">
        <v>173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173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>
        <v>173</v>
      </c>
      <c r="AR22" s="11"/>
      <c r="AS22" s="11"/>
      <c r="AT22" s="11"/>
      <c r="AU22" s="11"/>
      <c r="AV22" s="20" t="str">
        <f>HYPERLINK("http://www.openstreetmap.org/?mlat=33.5936&amp;mlon=42.6141&amp;zoom=12#map=12/33.5936/42.6141","Maplink1")</f>
        <v>Maplink1</v>
      </c>
      <c r="AW22" s="20" t="str">
        <f>HYPERLINK("https://www.google.iq/maps/search/+33.5936,42.6141/@33.5936,42.6141,14z?hl=en","Maplink2")</f>
        <v>Maplink2</v>
      </c>
      <c r="AX22" s="20" t="str">
        <f>HYPERLINK("http://www.bing.com/maps/?lvl=14&amp;sty=h&amp;cp=33.5936~42.6141&amp;sp=point.33.5936_42.6141_Al Shuqaq","Maplink3")</f>
        <v>Maplink3</v>
      </c>
    </row>
    <row r="23" spans="1:50" x14ac:dyDescent="0.25">
      <c r="A23" s="9">
        <v>135</v>
      </c>
      <c r="B23" s="10" t="s">
        <v>8</v>
      </c>
      <c r="C23" s="10" t="s">
        <v>114</v>
      </c>
      <c r="D23" s="10" t="s">
        <v>122</v>
      </c>
      <c r="E23" s="10" t="s">
        <v>123</v>
      </c>
      <c r="F23" s="10">
        <v>33.632710000000003</v>
      </c>
      <c r="G23" s="10">
        <v>42.848387000000002</v>
      </c>
      <c r="H23" s="10" t="s">
        <v>81</v>
      </c>
      <c r="I23" s="10" t="s">
        <v>117</v>
      </c>
      <c r="J23" s="10" t="s">
        <v>124</v>
      </c>
      <c r="K23" s="11">
        <v>111</v>
      </c>
      <c r="L23" s="11">
        <v>666</v>
      </c>
      <c r="M23" s="11">
        <v>111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111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>
        <v>44</v>
      </c>
      <c r="AT23" s="11">
        <v>67</v>
      </c>
      <c r="AU23" s="11"/>
      <c r="AV23" s="20" t="str">
        <f>HYPERLINK("http://www.openstreetmap.org/?mlat=33.646&amp;mlon=42.8471&amp;zoom=12#map=12/33.646/42.8471","Maplink1")</f>
        <v>Maplink1</v>
      </c>
      <c r="AW23" s="20" t="str">
        <f>HYPERLINK("https://www.google.iq/maps/search/+33.646,42.8471/@33.646,42.8471,14z?hl=en","Maplink2")</f>
        <v>Maplink2</v>
      </c>
      <c r="AX23" s="20" t="str">
        <f>HYPERLINK("http://www.bing.com/maps/?lvl=14&amp;sty=h&amp;cp=33.646~42.8471&amp;sp=point.33.646_42.8471_Al-muabdiyat","Maplink3")</f>
        <v>Maplink3</v>
      </c>
    </row>
    <row r="24" spans="1:50" x14ac:dyDescent="0.25">
      <c r="A24" s="9">
        <v>23827</v>
      </c>
      <c r="B24" s="10" t="s">
        <v>8</v>
      </c>
      <c r="C24" s="10" t="s">
        <v>114</v>
      </c>
      <c r="D24" s="10" t="s">
        <v>125</v>
      </c>
      <c r="E24" s="10" t="s">
        <v>126</v>
      </c>
      <c r="F24" s="10">
        <v>33.644216</v>
      </c>
      <c r="G24" s="10">
        <v>42.822705999999997</v>
      </c>
      <c r="H24" s="10" t="s">
        <v>81</v>
      </c>
      <c r="I24" s="10" t="s">
        <v>117</v>
      </c>
      <c r="J24" s="10" t="s">
        <v>127</v>
      </c>
      <c r="K24" s="11">
        <v>257</v>
      </c>
      <c r="L24" s="11">
        <v>1542</v>
      </c>
      <c r="M24" s="11">
        <v>257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257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>
        <v>257</v>
      </c>
      <c r="AV24" s="20" t="str">
        <f>HYPERLINK("http://www.openstreetmap.org/?mlat=33.6442&amp;mlon=42.8227&amp;zoom=12#map=12/33.6442/42.8227","Maplink1")</f>
        <v>Maplink1</v>
      </c>
      <c r="AW24" s="20" t="str">
        <f>HYPERLINK("https://www.google.iq/maps/search/+33.6442,42.8227/@33.6442,42.8227,14z?hl=en","Maplink2")</f>
        <v>Maplink2</v>
      </c>
      <c r="AX24" s="20" t="str">
        <f>HYPERLINK("http://www.bing.com/maps/?lvl=14&amp;sty=h&amp;cp=33.6442~42.8227&amp;sp=point.33.6442_42.8227_Al-Qalqalah","Maplink3")</f>
        <v>Maplink3</v>
      </c>
    </row>
    <row r="25" spans="1:50" x14ac:dyDescent="0.25">
      <c r="A25" s="9">
        <v>23831</v>
      </c>
      <c r="B25" s="10" t="s">
        <v>8</v>
      </c>
      <c r="C25" s="10" t="s">
        <v>114</v>
      </c>
      <c r="D25" s="10" t="s">
        <v>1100</v>
      </c>
      <c r="E25" s="10" t="s">
        <v>1088</v>
      </c>
      <c r="F25" s="10">
        <v>33.630186000000002</v>
      </c>
      <c r="G25" s="10">
        <v>42.819651999999998</v>
      </c>
      <c r="H25" s="10" t="s">
        <v>81</v>
      </c>
      <c r="I25" s="10" t="s">
        <v>117</v>
      </c>
      <c r="J25" s="10" t="s">
        <v>1089</v>
      </c>
      <c r="K25" s="11">
        <v>159</v>
      </c>
      <c r="L25" s="11">
        <v>954</v>
      </c>
      <c r="M25" s="11">
        <v>95</v>
      </c>
      <c r="N25" s="11"/>
      <c r="O25" s="11"/>
      <c r="P25" s="11"/>
      <c r="Q25" s="11"/>
      <c r="R25" s="11"/>
      <c r="S25" s="11">
        <v>64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159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>
        <v>159</v>
      </c>
      <c r="AT25" s="11"/>
      <c r="AU25" s="11"/>
      <c r="AV25" s="20" t="str">
        <f>HYPERLINK("http://www.openstreetmap.org/?mlat=33.6302&amp;mlon=42.8197&amp;zoom=12#map=12/33.6302/42.8197","Maplink1")</f>
        <v>Maplink1</v>
      </c>
      <c r="AW25" s="20" t="str">
        <f>HYPERLINK("https://www.google.iq/maps/search/+33.6302,42.8197/@33.6302,42.8197,14z?hl=en","Maplink2")</f>
        <v>Maplink2</v>
      </c>
      <c r="AX25" s="20" t="str">
        <f>HYPERLINK("http://www.bing.com/maps/?lvl=14&amp;sty=h&amp;cp=33.6302~42.8197&amp;sp=point.33.6302_42.8197_Al-Sikak","Maplink3")</f>
        <v>Maplink3</v>
      </c>
    </row>
    <row r="26" spans="1:50" x14ac:dyDescent="0.25">
      <c r="A26" s="9">
        <v>21264</v>
      </c>
      <c r="B26" s="10" t="s">
        <v>8</v>
      </c>
      <c r="C26" s="10" t="s">
        <v>114</v>
      </c>
      <c r="D26" s="10" t="s">
        <v>128</v>
      </c>
      <c r="E26" s="10" t="s">
        <v>129</v>
      </c>
      <c r="F26" s="10">
        <v>33.647554</v>
      </c>
      <c r="G26" s="10">
        <v>42.814266000000003</v>
      </c>
      <c r="H26" s="10" t="s">
        <v>81</v>
      </c>
      <c r="I26" s="10" t="s">
        <v>117</v>
      </c>
      <c r="J26" s="10" t="s">
        <v>130</v>
      </c>
      <c r="K26" s="11">
        <v>455</v>
      </c>
      <c r="L26" s="11">
        <v>2730</v>
      </c>
      <c r="M26" s="11">
        <v>420</v>
      </c>
      <c r="N26" s="11"/>
      <c r="O26" s="11"/>
      <c r="P26" s="11"/>
      <c r="Q26" s="11"/>
      <c r="R26" s="11"/>
      <c r="S26" s="11">
        <v>35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455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>
        <v>35</v>
      </c>
      <c r="AR26" s="11"/>
      <c r="AS26" s="11"/>
      <c r="AT26" s="11"/>
      <c r="AU26" s="11">
        <v>420</v>
      </c>
      <c r="AV26" s="20" t="str">
        <f>HYPERLINK("http://www.openstreetmap.org/?mlat=33.6476&amp;mlon=42.8143&amp;zoom=12#map=12/33.6476/42.8143","Maplink1")</f>
        <v>Maplink1</v>
      </c>
      <c r="AW26" s="20" t="str">
        <f>HYPERLINK("https://www.google.iq/maps/search/+33.6476,42.8143/@33.6476,42.8143,14z?hl=en","Maplink2")</f>
        <v>Maplink2</v>
      </c>
      <c r="AX26" s="20" t="str">
        <f>HYPERLINK("http://www.bing.com/maps/?lvl=14&amp;sty=h&amp;cp=33.6476~42.8143&amp;sp=point.33.6476_42.8143_Basair","Maplink3")</f>
        <v>Maplink3</v>
      </c>
    </row>
    <row r="27" spans="1:50" x14ac:dyDescent="0.25">
      <c r="A27" s="9">
        <v>23838</v>
      </c>
      <c r="B27" s="10" t="s">
        <v>8</v>
      </c>
      <c r="C27" s="10" t="s">
        <v>114</v>
      </c>
      <c r="D27" s="10" t="s">
        <v>131</v>
      </c>
      <c r="E27" s="10" t="s">
        <v>132</v>
      </c>
      <c r="F27" s="10">
        <v>33.589885000000002</v>
      </c>
      <c r="G27" s="10">
        <v>42.618650000000002</v>
      </c>
      <c r="H27" s="10" t="s">
        <v>81</v>
      </c>
      <c r="I27" s="10" t="s">
        <v>117</v>
      </c>
      <c r="J27" s="10" t="s">
        <v>133</v>
      </c>
      <c r="K27" s="11">
        <v>313</v>
      </c>
      <c r="L27" s="11">
        <v>1878</v>
      </c>
      <c r="M27" s="11">
        <v>313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313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>
        <v>313</v>
      </c>
      <c r="AT27" s="11"/>
      <c r="AU27" s="11"/>
      <c r="AV27" s="20" t="str">
        <f>HYPERLINK("http://www.openstreetmap.org/?mlat=33.5899&amp;mlon=42.6187&amp;zoom=12#map=12/33.5899/42.6187","Maplink1")</f>
        <v>Maplink1</v>
      </c>
      <c r="AW27" s="20" t="str">
        <f>HYPERLINK("https://www.google.iq/maps/search/+33.5899,42.6187/@33.5899,42.6187,14z?hl=en","Maplink2")</f>
        <v>Maplink2</v>
      </c>
      <c r="AX27" s="20" t="str">
        <f>HYPERLINK("http://www.bing.com/maps/?lvl=14&amp;sty=h&amp;cp=33.5899~42.6187&amp;sp=point.33.5899_42.6187_Hay Al Farouq","Maplink3")</f>
        <v>Maplink3</v>
      </c>
    </row>
    <row r="28" spans="1:50" x14ac:dyDescent="0.25">
      <c r="A28" s="9">
        <v>228</v>
      </c>
      <c r="B28" s="10" t="s">
        <v>8</v>
      </c>
      <c r="C28" s="10" t="s">
        <v>114</v>
      </c>
      <c r="D28" s="10" t="s">
        <v>134</v>
      </c>
      <c r="E28" s="10" t="s">
        <v>135</v>
      </c>
      <c r="F28" s="10">
        <v>33.639259000000003</v>
      </c>
      <c r="G28" s="10">
        <v>42.825597000000002</v>
      </c>
      <c r="H28" s="10" t="s">
        <v>81</v>
      </c>
      <c r="I28" s="10" t="s">
        <v>117</v>
      </c>
      <c r="J28" s="10" t="s">
        <v>136</v>
      </c>
      <c r="K28" s="11">
        <v>671</v>
      </c>
      <c r="L28" s="11">
        <v>4026</v>
      </c>
      <c r="M28" s="11">
        <v>671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671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>
        <v>174</v>
      </c>
      <c r="AT28" s="11"/>
      <c r="AU28" s="11">
        <v>497</v>
      </c>
      <c r="AV28" s="20" t="str">
        <f>HYPERLINK("http://www.openstreetmap.org/?mlat=33.6393&amp;mlon=42.8256&amp;zoom=12#map=12/33.6393/42.8256","Maplink1")</f>
        <v>Maplink1</v>
      </c>
      <c r="AW28" s="20" t="str">
        <f>HYPERLINK("https://www.google.iq/maps/search/+33.6393,42.8256/@33.6393,42.8256,14z?hl=en","Maplink2")</f>
        <v>Maplink2</v>
      </c>
      <c r="AX28" s="20" t="str">
        <f>HYPERLINK("http://www.bing.com/maps/?lvl=14&amp;sty=h&amp;cp=33.6393~42.8256&amp;sp=point.33.6393_42.8256_Hay al Jury","Maplink3")</f>
        <v>Maplink3</v>
      </c>
    </row>
    <row r="29" spans="1:50" x14ac:dyDescent="0.25">
      <c r="A29" s="9">
        <v>23839</v>
      </c>
      <c r="B29" s="10" t="s">
        <v>8</v>
      </c>
      <c r="C29" s="10" t="s">
        <v>114</v>
      </c>
      <c r="D29" s="10" t="s">
        <v>137</v>
      </c>
      <c r="E29" s="10" t="s">
        <v>138</v>
      </c>
      <c r="F29" s="10">
        <v>33.594890999999997</v>
      </c>
      <c r="G29" s="10">
        <v>42.613263000000003</v>
      </c>
      <c r="H29" s="10" t="s">
        <v>81</v>
      </c>
      <c r="I29" s="10" t="s">
        <v>117</v>
      </c>
      <c r="J29" s="10" t="s">
        <v>139</v>
      </c>
      <c r="K29" s="11">
        <v>272</v>
      </c>
      <c r="L29" s="11">
        <v>1632</v>
      </c>
      <c r="M29" s="11">
        <v>272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272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>
        <v>272</v>
      </c>
      <c r="AU29" s="11"/>
      <c r="AV29" s="20" t="str">
        <f>HYPERLINK("http://www.openstreetmap.org/?mlat=33.5949&amp;mlon=42.6133&amp;zoom=12#map=12/33.5949/42.6133","Maplink1")</f>
        <v>Maplink1</v>
      </c>
      <c r="AW29" s="20" t="str">
        <f>HYPERLINK("https://www.google.iq/maps/search/+33.5949,42.6133/@33.5949,42.6133,14z?hl=en","Maplink2")</f>
        <v>Maplink2</v>
      </c>
      <c r="AX29" s="20" t="str">
        <f>HYPERLINK("http://www.bing.com/maps/?lvl=14&amp;sty=h&amp;cp=33.5949~42.6133&amp;sp=point.33.5949_42.6133_Hay Al Mamoun","Maplink3")</f>
        <v>Maplink3</v>
      </c>
    </row>
    <row r="30" spans="1:50" x14ac:dyDescent="0.25">
      <c r="A30" s="9">
        <v>29535</v>
      </c>
      <c r="B30" s="10" t="s">
        <v>8</v>
      </c>
      <c r="C30" s="10" t="s">
        <v>114</v>
      </c>
      <c r="D30" s="10" t="s">
        <v>140</v>
      </c>
      <c r="E30" s="10" t="s">
        <v>141</v>
      </c>
      <c r="F30" s="10">
        <v>33.590407999999996</v>
      </c>
      <c r="G30" s="10">
        <v>42.613314000000003</v>
      </c>
      <c r="H30" s="10" t="s">
        <v>81</v>
      </c>
      <c r="I30" s="10" t="s">
        <v>117</v>
      </c>
      <c r="J30" s="10"/>
      <c r="K30" s="11">
        <v>261</v>
      </c>
      <c r="L30" s="11">
        <v>1566</v>
      </c>
      <c r="M30" s="11">
        <v>172</v>
      </c>
      <c r="N30" s="11"/>
      <c r="O30" s="11">
        <v>89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261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>
        <v>261</v>
      </c>
      <c r="AQ30" s="11"/>
      <c r="AR30" s="11"/>
      <c r="AS30" s="11"/>
      <c r="AT30" s="11"/>
      <c r="AU30" s="11"/>
      <c r="AV30" s="20" t="str">
        <f>HYPERLINK("http://www.openstreetmap.org/?mlat=33.5904&amp;mlon=42.6133&amp;zoom=12#map=12/33.5904/42.6133","Maplink1")</f>
        <v>Maplink1</v>
      </c>
      <c r="AW30" s="20" t="str">
        <f>HYPERLINK("https://www.google.iq/maps/search/+33.5904,42.6133/@33.5904,42.6133,14z?hl=en","Maplink2")</f>
        <v>Maplink2</v>
      </c>
      <c r="AX30" s="20" t="str">
        <f>HYPERLINK("http://www.bing.com/maps/?lvl=14&amp;sty=h&amp;cp=33.5904~42.6133&amp;sp=point.33.5904_42.6133","Maplink3")</f>
        <v>Maplink3</v>
      </c>
    </row>
    <row r="31" spans="1:50" x14ac:dyDescent="0.25">
      <c r="A31" s="9">
        <v>219</v>
      </c>
      <c r="B31" s="10" t="s">
        <v>8</v>
      </c>
      <c r="C31" s="10" t="s">
        <v>114</v>
      </c>
      <c r="D31" s="10" t="s">
        <v>142</v>
      </c>
      <c r="E31" s="10" t="s">
        <v>143</v>
      </c>
      <c r="F31" s="10">
        <v>33.636519999999997</v>
      </c>
      <c r="G31" s="10">
        <v>42.817701999999997</v>
      </c>
      <c r="H31" s="10" t="s">
        <v>81</v>
      </c>
      <c r="I31" s="10" t="s">
        <v>117</v>
      </c>
      <c r="J31" s="10" t="s">
        <v>144</v>
      </c>
      <c r="K31" s="11">
        <v>467</v>
      </c>
      <c r="L31" s="11">
        <v>2802</v>
      </c>
      <c r="M31" s="11">
        <v>467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467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>
        <v>467</v>
      </c>
      <c r="AV31" s="20" t="str">
        <f>HYPERLINK("http://www.openstreetmap.org/?mlat=33.6365&amp;mlon=42.8177&amp;zoom=12#map=12/33.6365/42.8177","Maplink1")</f>
        <v>Maplink1</v>
      </c>
      <c r="AW31" s="20" t="str">
        <f>HYPERLINK("https://www.google.iq/maps/search/+33.6365,42.8177/@33.6365,42.8177,14z?hl=en","Maplink2")</f>
        <v>Maplink2</v>
      </c>
      <c r="AX31" s="20" t="str">
        <f>HYPERLINK("http://www.bing.com/maps/?lvl=14&amp;sty=h&amp;cp=33.6365~42.8177&amp;sp=point.33.6365_42.8177_Hay Al-Jabal","Maplink3")</f>
        <v>Maplink3</v>
      </c>
    </row>
    <row r="32" spans="1:50" x14ac:dyDescent="0.25">
      <c r="A32" s="9">
        <v>23885</v>
      </c>
      <c r="B32" s="10" t="s">
        <v>8</v>
      </c>
      <c r="C32" s="10" t="s">
        <v>114</v>
      </c>
      <c r="D32" s="10" t="s">
        <v>145</v>
      </c>
      <c r="E32" s="10" t="s">
        <v>146</v>
      </c>
      <c r="F32" s="10">
        <v>33.630026000000001</v>
      </c>
      <c r="G32" s="10">
        <v>42.843528999999997</v>
      </c>
      <c r="H32" s="10" t="s">
        <v>81</v>
      </c>
      <c r="I32" s="10" t="s">
        <v>117</v>
      </c>
      <c r="J32" s="10" t="s">
        <v>147</v>
      </c>
      <c r="K32" s="11">
        <v>140</v>
      </c>
      <c r="L32" s="11">
        <v>840</v>
      </c>
      <c r="M32" s="11">
        <v>140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140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>
        <v>140</v>
      </c>
      <c r="AV32" s="20" t="str">
        <f>HYPERLINK("http://www.openstreetmap.org/?mlat=33.63&amp;mlon=42.8435&amp;zoom=12#map=12/33.63/42.8435","Maplink1")</f>
        <v>Maplink1</v>
      </c>
      <c r="AW32" s="20" t="str">
        <f>HYPERLINK("https://www.google.iq/maps/search/+33.63,42.8435/@33.63,42.8435,14z?hl=en","Maplink2")</f>
        <v>Maplink2</v>
      </c>
      <c r="AX32" s="20" t="str">
        <f>HYPERLINK("http://www.bing.com/maps/?lvl=14&amp;sty=h&amp;cp=33.63~42.8435&amp;sp=point.33.63_42.8435_Hay Al-jamyah 2","Maplink3")</f>
        <v>Maplink3</v>
      </c>
    </row>
    <row r="33" spans="1:50" x14ac:dyDescent="0.25">
      <c r="A33" s="9">
        <v>29536</v>
      </c>
      <c r="B33" s="10" t="s">
        <v>8</v>
      </c>
      <c r="C33" s="10" t="s">
        <v>114</v>
      </c>
      <c r="D33" s="10" t="s">
        <v>148</v>
      </c>
      <c r="E33" s="10" t="s">
        <v>149</v>
      </c>
      <c r="F33" s="10">
        <v>33.589874999999999</v>
      </c>
      <c r="G33" s="10">
        <v>42.609439999999999</v>
      </c>
      <c r="H33" s="10" t="s">
        <v>81</v>
      </c>
      <c r="I33" s="10" t="s">
        <v>117</v>
      </c>
      <c r="J33" s="10"/>
      <c r="K33" s="11">
        <v>288</v>
      </c>
      <c r="L33" s="11">
        <v>1728</v>
      </c>
      <c r="M33" s="11">
        <v>288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288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>
        <v>288</v>
      </c>
      <c r="AT33" s="11"/>
      <c r="AU33" s="11"/>
      <c r="AV33" s="20" t="str">
        <f>HYPERLINK("http://www.openstreetmap.org/?mlat=33.5899&amp;mlon=42.6094&amp;zoom=12#map=12/33.5899/42.6094","Maplink1")</f>
        <v>Maplink1</v>
      </c>
      <c r="AW33" s="20" t="str">
        <f>HYPERLINK("https://www.google.iq/maps/search/+33.5899,42.6094/@33.5899,42.6094,14z?hl=en","Maplink2")</f>
        <v>Maplink2</v>
      </c>
      <c r="AX33" s="20" t="str">
        <f>HYPERLINK("http://www.bing.com/maps/?lvl=14&amp;sty=h&amp;cp=33.5899~42.6094&amp;sp=point.33.5899_42.6094","Maplink3")</f>
        <v>Maplink3</v>
      </c>
    </row>
    <row r="34" spans="1:50" x14ac:dyDescent="0.25">
      <c r="A34" s="9">
        <v>21231</v>
      </c>
      <c r="B34" s="10" t="s">
        <v>8</v>
      </c>
      <c r="C34" s="10" t="s">
        <v>114</v>
      </c>
      <c r="D34" s="10" t="s">
        <v>150</v>
      </c>
      <c r="E34" s="10" t="s">
        <v>151</v>
      </c>
      <c r="F34" s="10">
        <v>33.638007000000002</v>
      </c>
      <c r="G34" s="10">
        <v>42.836699000000003</v>
      </c>
      <c r="H34" s="10" t="s">
        <v>81</v>
      </c>
      <c r="I34" s="10" t="s">
        <v>117</v>
      </c>
      <c r="J34" s="10" t="s">
        <v>152</v>
      </c>
      <c r="K34" s="11">
        <v>264</v>
      </c>
      <c r="L34" s="11">
        <v>1584</v>
      </c>
      <c r="M34" s="11">
        <v>264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264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>
        <v>99</v>
      </c>
      <c r="AT34" s="11">
        <v>99</v>
      </c>
      <c r="AU34" s="11">
        <v>66</v>
      </c>
      <c r="AV34" s="20" t="str">
        <f>HYPERLINK("http://www.openstreetmap.org/?mlat=33.6371&amp;mlon=42.8382&amp;zoom=12#map=12/33.6371/42.8382","Maplink1")</f>
        <v>Maplink1</v>
      </c>
      <c r="AW34" s="20" t="str">
        <f>HYPERLINK("https://www.google.iq/maps/search/+33.6371,42.8382/@33.6371,42.8382,14z?hl=en","Maplink2")</f>
        <v>Maplink2</v>
      </c>
      <c r="AX34" s="20" t="str">
        <f>HYPERLINK("http://www.bing.com/maps/?lvl=14&amp;sty=h&amp;cp=33.6371~42.8382&amp;sp=point.33.6371_42.8382_Hay Al-Qadisiyah","Maplink3")</f>
        <v>Maplink3</v>
      </c>
    </row>
    <row r="35" spans="1:50" x14ac:dyDescent="0.25">
      <c r="A35" s="9">
        <v>29537</v>
      </c>
      <c r="B35" s="10" t="s">
        <v>8</v>
      </c>
      <c r="C35" s="10" t="s">
        <v>114</v>
      </c>
      <c r="D35" s="10" t="s">
        <v>153</v>
      </c>
      <c r="E35" s="10" t="s">
        <v>154</v>
      </c>
      <c r="F35" s="10">
        <v>33.587470000000003</v>
      </c>
      <c r="G35" s="10">
        <v>42.608139000000001</v>
      </c>
      <c r="H35" s="10" t="s">
        <v>81</v>
      </c>
      <c r="I35" s="10" t="s">
        <v>117</v>
      </c>
      <c r="J35" s="10"/>
      <c r="K35" s="11">
        <v>240</v>
      </c>
      <c r="L35" s="11">
        <v>1440</v>
      </c>
      <c r="M35" s="11">
        <v>240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240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>
        <v>240</v>
      </c>
      <c r="AU35" s="11"/>
      <c r="AV35" s="20" t="str">
        <f>HYPERLINK("http://www.openstreetmap.org/?mlat=33.5875&amp;mlon=42.6081&amp;zoom=12#map=12/33.5875/42.6081","Maplink1")</f>
        <v>Maplink1</v>
      </c>
      <c r="AW35" s="20" t="str">
        <f>HYPERLINK("https://www.google.iq/maps/search/+33.5875,42.6081/@33.5875,42.6081,14z?hl=en","Maplink2")</f>
        <v>Maplink2</v>
      </c>
      <c r="AX35" s="20" t="str">
        <f>HYPERLINK("http://www.bing.com/maps/?lvl=14&amp;sty=h&amp;cp=33.5875~42.6081&amp;sp=point.33.5875_42.6081","Maplink3")</f>
        <v>Maplink3</v>
      </c>
    </row>
    <row r="36" spans="1:50" x14ac:dyDescent="0.25">
      <c r="A36" s="9">
        <v>226</v>
      </c>
      <c r="B36" s="10" t="s">
        <v>8</v>
      </c>
      <c r="C36" s="10" t="s">
        <v>114</v>
      </c>
      <c r="D36" s="10" t="s">
        <v>155</v>
      </c>
      <c r="E36" s="10" t="s">
        <v>156</v>
      </c>
      <c r="F36" s="10">
        <v>33.626868000000002</v>
      </c>
      <c r="G36" s="10">
        <v>42.839903</v>
      </c>
      <c r="H36" s="10" t="s">
        <v>81</v>
      </c>
      <c r="I36" s="10" t="s">
        <v>117</v>
      </c>
      <c r="J36" s="10" t="s">
        <v>157</v>
      </c>
      <c r="K36" s="11">
        <v>176</v>
      </c>
      <c r="L36" s="11">
        <v>1056</v>
      </c>
      <c r="M36" s="11">
        <v>176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176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>
        <v>176</v>
      </c>
      <c r="AU36" s="11"/>
      <c r="AV36" s="20" t="str">
        <f>HYPERLINK("http://www.openstreetmap.org/?mlat=33.6269&amp;mlon=42.8399&amp;zoom=12#map=12/33.6269/42.8399","Maplink1")</f>
        <v>Maplink1</v>
      </c>
      <c r="AW36" s="20" t="str">
        <f>HYPERLINK("https://www.google.iq/maps/search/+33.6269,42.8399/@33.6269,42.8399,14z?hl=en","Maplink2")</f>
        <v>Maplink2</v>
      </c>
      <c r="AX36" s="20" t="str">
        <f>HYPERLINK("http://www.bing.com/maps/?lvl=14&amp;sty=h&amp;cp=33.6269~42.8399&amp;sp=point.33.6269_42.8399_Hay Al-Zuhoor","Maplink3")</f>
        <v>Maplink3</v>
      </c>
    </row>
    <row r="37" spans="1:50" x14ac:dyDescent="0.25">
      <c r="A37" s="9">
        <v>53</v>
      </c>
      <c r="B37" s="10" t="s">
        <v>8</v>
      </c>
      <c r="C37" s="10" t="s">
        <v>114</v>
      </c>
      <c r="D37" s="10" t="s">
        <v>1215</v>
      </c>
      <c r="E37" s="10" t="s">
        <v>158</v>
      </c>
      <c r="F37" s="10">
        <v>33.698059999999998</v>
      </c>
      <c r="G37" s="10">
        <v>42.746380000000002</v>
      </c>
      <c r="H37" s="10" t="s">
        <v>81</v>
      </c>
      <c r="I37" s="10" t="s">
        <v>117</v>
      </c>
      <c r="J37" s="10" t="s">
        <v>159</v>
      </c>
      <c r="K37" s="11">
        <v>188</v>
      </c>
      <c r="L37" s="11">
        <v>1128</v>
      </c>
      <c r="M37" s="11">
        <v>188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188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>
        <v>107</v>
      </c>
      <c r="AT37" s="11">
        <v>81</v>
      </c>
      <c r="AU37" s="11"/>
      <c r="AV37" s="20" t="str">
        <f>HYPERLINK("http://www.openstreetmap.org/?mlat=33.6981&amp;mlon=42.7464&amp;zoom=12#map=12/33.6981/42.7464","Maplink1")</f>
        <v>Maplink1</v>
      </c>
      <c r="AW37" s="20" t="str">
        <f>HYPERLINK("https://www.google.iq/maps/search/+33.6981,42.7464/@33.6981,42.7464,14z?hl=en","Maplink2")</f>
        <v>Maplink2</v>
      </c>
      <c r="AX37" s="20" t="str">
        <f>HYPERLINK("http://www.bing.com/maps/?lvl=14&amp;sty=h&amp;cp=33.6981~42.7464&amp;sp=point.33.6981_42.7464_Heet-Maskhan","Maplink3")</f>
        <v>Maplink3</v>
      </c>
    </row>
    <row r="38" spans="1:50" x14ac:dyDescent="0.25">
      <c r="A38" s="9">
        <v>23835</v>
      </c>
      <c r="B38" s="10" t="s">
        <v>8</v>
      </c>
      <c r="C38" s="10" t="s">
        <v>114</v>
      </c>
      <c r="D38" s="10" t="s">
        <v>1216</v>
      </c>
      <c r="E38" s="10" t="s">
        <v>160</v>
      </c>
      <c r="F38" s="10">
        <v>33.592497000000002</v>
      </c>
      <c r="G38" s="10">
        <v>42.623727000000002</v>
      </c>
      <c r="H38" s="10" t="s">
        <v>81</v>
      </c>
      <c r="I38" s="10" t="s">
        <v>117</v>
      </c>
      <c r="J38" s="10" t="s">
        <v>161</v>
      </c>
      <c r="K38" s="11">
        <v>115</v>
      </c>
      <c r="L38" s="11">
        <v>690</v>
      </c>
      <c r="M38" s="11">
        <v>115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115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v>115</v>
      </c>
      <c r="AQ38" s="11"/>
      <c r="AR38" s="11"/>
      <c r="AS38" s="11"/>
      <c r="AT38" s="11"/>
      <c r="AU38" s="11"/>
      <c r="AV38" s="20" t="str">
        <f>HYPERLINK("http://www.openstreetmap.org/?mlat=33.5925&amp;mlon=42.6237&amp;zoom=12#map=12/33.5925/42.6237","Maplink1")</f>
        <v>Maplink1</v>
      </c>
      <c r="AW38" s="20" t="str">
        <f>HYPERLINK("https://www.google.iq/maps/search/+33.5925,42.6237/@33.5925,42.6237,14z?hl=en","Maplink2")</f>
        <v>Maplink2</v>
      </c>
      <c r="AX38" s="20" t="str">
        <f>HYPERLINK("http://www.bing.com/maps/?lvl=14&amp;sty=h&amp;cp=33.5925~42.6237&amp;sp=point.33.5925_42.6237_Kapisah-Hay Al-Sinay","Maplink3")</f>
        <v>Maplink3</v>
      </c>
    </row>
    <row r="39" spans="1:50" x14ac:dyDescent="0.25">
      <c r="A39" s="9">
        <v>5</v>
      </c>
      <c r="B39" s="10" t="s">
        <v>8</v>
      </c>
      <c r="C39" s="10" t="s">
        <v>114</v>
      </c>
      <c r="D39" s="10" t="s">
        <v>162</v>
      </c>
      <c r="E39" s="10" t="s">
        <v>163</v>
      </c>
      <c r="F39" s="10">
        <v>33.591861000000002</v>
      </c>
      <c r="G39" s="10">
        <v>42.611404999999998</v>
      </c>
      <c r="H39" s="10" t="s">
        <v>81</v>
      </c>
      <c r="I39" s="10" t="s">
        <v>117</v>
      </c>
      <c r="J39" s="10" t="s">
        <v>164</v>
      </c>
      <c r="K39" s="11">
        <v>393</v>
      </c>
      <c r="L39" s="11">
        <v>2358</v>
      </c>
      <c r="M39" s="11">
        <v>218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>
        <v>175</v>
      </c>
      <c r="AC39" s="11"/>
      <c r="AD39" s="11"/>
      <c r="AE39" s="11"/>
      <c r="AF39" s="11">
        <v>393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>
        <v>393</v>
      </c>
      <c r="AT39" s="11"/>
      <c r="AU39" s="11"/>
      <c r="AV39" s="20" t="str">
        <f>HYPERLINK("http://www.openstreetmap.org/?mlat=33.5919&amp;mlon=42.6114&amp;zoom=12#map=12/33.5919/42.6114","Maplink1")</f>
        <v>Maplink1</v>
      </c>
      <c r="AW39" s="20" t="str">
        <f>HYPERLINK("https://www.google.iq/maps/search/+33.5919,42.6114/@33.5919,42.6114,14z?hl=en","Maplink2")</f>
        <v>Maplink2</v>
      </c>
      <c r="AX39" s="20" t="str">
        <f>HYPERLINK("http://www.bing.com/maps/?lvl=14&amp;sty=h&amp;cp=33.5919~42.6114&amp;sp=point.33.5919_42.6114_Kubaisa Al-qadimah","Maplink3")</f>
        <v>Maplink3</v>
      </c>
    </row>
    <row r="40" spans="1:50" x14ac:dyDescent="0.25">
      <c r="A40" s="9">
        <v>191</v>
      </c>
      <c r="B40" s="10" t="s">
        <v>8</v>
      </c>
      <c r="C40" s="10" t="s">
        <v>114</v>
      </c>
      <c r="D40" s="10" t="s">
        <v>165</v>
      </c>
      <c r="E40" s="10" t="s">
        <v>166</v>
      </c>
      <c r="F40" s="10">
        <v>33.642051000000002</v>
      </c>
      <c r="G40" s="10">
        <v>42.812998999999998</v>
      </c>
      <c r="H40" s="10" t="s">
        <v>81</v>
      </c>
      <c r="I40" s="10" t="s">
        <v>117</v>
      </c>
      <c r="J40" s="10" t="s">
        <v>167</v>
      </c>
      <c r="K40" s="11">
        <v>400</v>
      </c>
      <c r="L40" s="11">
        <v>2400</v>
      </c>
      <c r="M40" s="11">
        <v>400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400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>
        <v>124</v>
      </c>
      <c r="AT40" s="11">
        <v>128</v>
      </c>
      <c r="AU40" s="11">
        <v>148</v>
      </c>
      <c r="AV40" s="20" t="str">
        <f>HYPERLINK("http://www.openstreetmap.org/?mlat=33.6423&amp;mlon=42.8137&amp;zoom=12#map=12/33.6423/42.8137","Maplink1")</f>
        <v>Maplink1</v>
      </c>
      <c r="AW40" s="20" t="str">
        <f>HYPERLINK("https://www.google.iq/maps/search/+33.6423,42.8137/@33.6423,42.8137,14z?hl=en","Maplink2")</f>
        <v>Maplink2</v>
      </c>
      <c r="AX40" s="20" t="str">
        <f>HYPERLINK("http://www.bing.com/maps/?lvl=14&amp;sty=h&amp;cp=33.6423~42.8137&amp;sp=point.33.6423_42.8137_Mualmeen","Maplink3")</f>
        <v>Maplink3</v>
      </c>
    </row>
    <row r="41" spans="1:50" x14ac:dyDescent="0.25">
      <c r="A41" s="9">
        <v>194</v>
      </c>
      <c r="B41" s="10" t="s">
        <v>8</v>
      </c>
      <c r="C41" s="10" t="s">
        <v>114</v>
      </c>
      <c r="D41" s="10" t="s">
        <v>168</v>
      </c>
      <c r="E41" s="10" t="s">
        <v>169</v>
      </c>
      <c r="F41" s="10">
        <v>33.631995000000003</v>
      </c>
      <c r="G41" s="10">
        <v>42.839765999999997</v>
      </c>
      <c r="H41" s="10" t="s">
        <v>81</v>
      </c>
      <c r="I41" s="10" t="s">
        <v>117</v>
      </c>
      <c r="J41" s="10" t="s">
        <v>170</v>
      </c>
      <c r="K41" s="11">
        <v>216</v>
      </c>
      <c r="L41" s="11">
        <v>1296</v>
      </c>
      <c r="M41" s="11">
        <v>216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216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>
        <v>30</v>
      </c>
      <c r="AT41" s="11"/>
      <c r="AU41" s="11">
        <v>186</v>
      </c>
      <c r="AV41" s="20" t="str">
        <f>HYPERLINK("http://www.openstreetmap.org/?mlat=33.632&amp;mlon=42.8398&amp;zoom=12#map=12/33.632/42.8398","Maplink1")</f>
        <v>Maplink1</v>
      </c>
      <c r="AW41" s="20" t="str">
        <f>HYPERLINK("https://www.google.iq/maps/search/+33.632,42.8398/@33.632,42.8398,14z?hl=en","Maplink2")</f>
        <v>Maplink2</v>
      </c>
      <c r="AX41" s="20" t="str">
        <f>HYPERLINK("http://www.bing.com/maps/?lvl=14&amp;sty=h&amp;cp=33.632~42.8398&amp;sp=point.33.632_42.8398_The first jamaiya","Maplink3")</f>
        <v>Maplink3</v>
      </c>
    </row>
    <row r="42" spans="1:50" x14ac:dyDescent="0.25">
      <c r="A42" s="9">
        <v>23889</v>
      </c>
      <c r="B42" s="10" t="s">
        <v>8</v>
      </c>
      <c r="C42" s="10" t="s">
        <v>171</v>
      </c>
      <c r="D42" s="10" t="s">
        <v>1103</v>
      </c>
      <c r="E42" s="10" t="s">
        <v>1217</v>
      </c>
      <c r="F42" s="10">
        <v>33.412630999999998</v>
      </c>
      <c r="G42" s="10">
        <v>43.183388000000001</v>
      </c>
      <c r="H42" s="10" t="s">
        <v>81</v>
      </c>
      <c r="I42" s="10" t="s">
        <v>173</v>
      </c>
      <c r="J42" s="10" t="s">
        <v>1104</v>
      </c>
      <c r="K42" s="11">
        <v>416</v>
      </c>
      <c r="L42" s="11">
        <v>2496</v>
      </c>
      <c r="M42" s="11"/>
      <c r="N42" s="11"/>
      <c r="O42" s="11"/>
      <c r="P42" s="11"/>
      <c r="Q42" s="11"/>
      <c r="R42" s="11"/>
      <c r="S42" s="11">
        <v>136</v>
      </c>
      <c r="T42" s="11"/>
      <c r="U42" s="11">
        <v>280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416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>
        <v>280</v>
      </c>
      <c r="AT42" s="11">
        <v>136</v>
      </c>
      <c r="AU42" s="11"/>
      <c r="AV42" s="20" t="str">
        <f>HYPERLINK("http://www.openstreetmap.org/?mlat=33.4126&amp;mlon=43.1834&amp;zoom=12#map=12/33.4126/43.1834","Maplink1")</f>
        <v>Maplink1</v>
      </c>
      <c r="AW42" s="20" t="str">
        <f>HYPERLINK("https://www.google.iq/maps/search/+33.4126,43.1834/@33.4126,43.1834,14z?hl=en","Maplink2")</f>
        <v>Maplink2</v>
      </c>
      <c r="AX42" s="20" t="str">
        <f>HYPERLINK("http://www.bing.com/maps/?lvl=14&amp;sty=h&amp;cp=33.4126~43.1834&amp;sp=point.33.4126_43.1834_7 Killo-al-mojamaa al-sakany","Maplink3")</f>
        <v>Maplink3</v>
      </c>
    </row>
    <row r="43" spans="1:50" x14ac:dyDescent="0.25">
      <c r="A43" s="9">
        <v>133</v>
      </c>
      <c r="B43" s="10" t="s">
        <v>8</v>
      </c>
      <c r="C43" s="10" t="s">
        <v>171</v>
      </c>
      <c r="D43" s="10" t="s">
        <v>1125</v>
      </c>
      <c r="E43" s="10" t="s">
        <v>1126</v>
      </c>
      <c r="F43" s="10">
        <v>33.414760999999999</v>
      </c>
      <c r="G43" s="10">
        <v>43.306842000000003</v>
      </c>
      <c r="H43" s="10" t="s">
        <v>81</v>
      </c>
      <c r="I43" s="10" t="s">
        <v>173</v>
      </c>
      <c r="J43" s="10" t="s">
        <v>1127</v>
      </c>
      <c r="K43" s="11">
        <v>320</v>
      </c>
      <c r="L43" s="11">
        <v>1920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>
        <v>320</v>
      </c>
      <c r="AC43" s="11"/>
      <c r="AD43" s="11"/>
      <c r="AE43" s="11"/>
      <c r="AF43" s="11">
        <v>320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>
        <v>320</v>
      </c>
      <c r="AT43" s="11"/>
      <c r="AU43" s="11"/>
      <c r="AV43" s="20" t="str">
        <f>HYPERLINK("http://www.openstreetmap.org/?mlat=33.4145&amp;mlon=43.3058&amp;zoom=12#map=12/33.4145/43.3058","Maplink1")</f>
        <v>Maplink1</v>
      </c>
      <c r="AW43" s="20" t="str">
        <f>HYPERLINK("https://www.google.iq/maps/search/+33.4145,43.3058/@33.4145,43.3058,14z?hl=en","Maplink2")</f>
        <v>Maplink2</v>
      </c>
      <c r="AX43" s="20" t="str">
        <f>HYPERLINK("http://www.bing.com/maps/?lvl=14&amp;sty=h&amp;cp=33.4145~43.3058&amp;sp=point.33.4145_43.3058_Al-Aadil","Maplink3")</f>
        <v>Maplink3</v>
      </c>
    </row>
    <row r="44" spans="1:50" x14ac:dyDescent="0.25">
      <c r="A44" s="9">
        <v>132</v>
      </c>
      <c r="B44" s="10" t="s">
        <v>8</v>
      </c>
      <c r="C44" s="10" t="s">
        <v>171</v>
      </c>
      <c r="D44" s="10" t="s">
        <v>1095</v>
      </c>
      <c r="E44" s="10" t="s">
        <v>1096</v>
      </c>
      <c r="F44" s="10">
        <v>33.422457999999999</v>
      </c>
      <c r="G44" s="10">
        <v>43.303907000000002</v>
      </c>
      <c r="H44" s="10" t="s">
        <v>81</v>
      </c>
      <c r="I44" s="10" t="s">
        <v>173</v>
      </c>
      <c r="J44" s="10" t="s">
        <v>1097</v>
      </c>
      <c r="K44" s="11">
        <v>430</v>
      </c>
      <c r="L44" s="11">
        <v>2580</v>
      </c>
      <c r="M44" s="11">
        <v>430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430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>
        <v>180</v>
      </c>
      <c r="AQ44" s="11"/>
      <c r="AR44" s="11"/>
      <c r="AS44" s="11"/>
      <c r="AT44" s="11">
        <v>250</v>
      </c>
      <c r="AU44" s="11"/>
      <c r="AV44" s="20" t="str">
        <f>HYPERLINK("http://www.openstreetmap.org/?mlat=33.41&amp;mlon=43.3&amp;zoom=12#map=12/33.41/43.3","Maplink1")</f>
        <v>Maplink1</v>
      </c>
      <c r="AW44" s="20" t="str">
        <f>HYPERLINK("https://www.google.iq/maps/search/+33.41,43.3/@33.41,43.3,14z?hl=en","Maplink2")</f>
        <v>Maplink2</v>
      </c>
      <c r="AX44" s="20" t="str">
        <f>HYPERLINK("http://www.bing.com/maps/?lvl=14&amp;sty=h&amp;cp=33.41~43.3&amp;sp=point.33.41_43.3_Al-Andalus","Maplink3")</f>
        <v>Maplink3</v>
      </c>
    </row>
    <row r="45" spans="1:50" x14ac:dyDescent="0.25">
      <c r="A45" s="9">
        <v>25650</v>
      </c>
      <c r="B45" s="10" t="s">
        <v>8</v>
      </c>
      <c r="C45" s="10" t="s">
        <v>171</v>
      </c>
      <c r="D45" s="10" t="s">
        <v>1128</v>
      </c>
      <c r="E45" s="10" t="s">
        <v>1129</v>
      </c>
      <c r="F45" s="10">
        <v>33.411586</v>
      </c>
      <c r="G45" s="10">
        <v>43.308807000000002</v>
      </c>
      <c r="H45" s="10" t="s">
        <v>81</v>
      </c>
      <c r="I45" s="10" t="s">
        <v>173</v>
      </c>
      <c r="J45" s="10"/>
      <c r="K45" s="11">
        <v>374</v>
      </c>
      <c r="L45" s="11">
        <v>2244</v>
      </c>
      <c r="M45" s="11"/>
      <c r="N45" s="11"/>
      <c r="O45" s="11">
        <v>374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374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>
        <v>374</v>
      </c>
      <c r="AU45" s="11"/>
      <c r="AV45" s="20" t="str">
        <f>HYPERLINK("http://www.openstreetmap.org/?mlat=33.4116&amp;mlon=43.3088&amp;zoom=12#map=12/33.4116/43.3088","Maplink1")</f>
        <v>Maplink1</v>
      </c>
      <c r="AW45" s="20" t="str">
        <f>HYPERLINK("https://www.google.iq/maps/search/+33.4116,43.3088/@33.4116,43.3088,14z?hl=en","Maplink2")</f>
        <v>Maplink2</v>
      </c>
      <c r="AX45" s="20" t="str">
        <f>HYPERLINK("http://www.bing.com/maps/?lvl=14&amp;sty=h&amp;cp=33.4116~43.3088&amp;sp=point.33.4116_43.3088_Al-Askari","Maplink3")</f>
        <v>Maplink3</v>
      </c>
    </row>
    <row r="46" spans="1:50" x14ac:dyDescent="0.25">
      <c r="A46" s="9">
        <v>117</v>
      </c>
      <c r="B46" s="10" t="s">
        <v>8</v>
      </c>
      <c r="C46" s="10" t="s">
        <v>171</v>
      </c>
      <c r="D46" s="10" t="s">
        <v>1130</v>
      </c>
      <c r="E46" s="10" t="s">
        <v>1131</v>
      </c>
      <c r="F46" s="10">
        <v>33.428213999999997</v>
      </c>
      <c r="G46" s="10">
        <v>43.296959000000001</v>
      </c>
      <c r="H46" s="10" t="s">
        <v>81</v>
      </c>
      <c r="I46" s="10" t="s">
        <v>173</v>
      </c>
      <c r="J46" s="10" t="s">
        <v>1132</v>
      </c>
      <c r="K46" s="11">
        <v>485</v>
      </c>
      <c r="L46" s="11">
        <v>2910</v>
      </c>
      <c r="M46" s="11"/>
      <c r="N46" s="11"/>
      <c r="O46" s="11">
        <v>485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485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>
        <v>485</v>
      </c>
      <c r="AU46" s="11"/>
      <c r="AV46" s="20" t="str">
        <f>HYPERLINK("http://www.openstreetmap.org/?mlat=33.4282&amp;mlon=43.297&amp;zoom=12#map=12/33.4282/43.297","Maplink1")</f>
        <v>Maplink1</v>
      </c>
      <c r="AW46" s="20" t="str">
        <f>HYPERLINK("https://www.google.iq/maps/search/+33.4282,43.297/@33.4282,43.297,14z?hl=en","Maplink2")</f>
        <v>Maplink2</v>
      </c>
      <c r="AX46" s="20" t="str">
        <f>HYPERLINK("http://www.bing.com/maps/?lvl=14&amp;sty=h&amp;cp=33.4282~43.297&amp;sp=point.33.4282_43.297_Al-Azeziya","Maplink3")</f>
        <v>Maplink3</v>
      </c>
    </row>
    <row r="47" spans="1:50" x14ac:dyDescent="0.25">
      <c r="A47" s="9">
        <v>29579</v>
      </c>
      <c r="B47" s="10" t="s">
        <v>8</v>
      </c>
      <c r="C47" s="10" t="s">
        <v>171</v>
      </c>
      <c r="D47" s="10" t="s">
        <v>1105</v>
      </c>
      <c r="E47" s="10" t="s">
        <v>1106</v>
      </c>
      <c r="F47" s="10">
        <v>33.412533000000003</v>
      </c>
      <c r="G47" s="10">
        <v>43.308374000000001</v>
      </c>
      <c r="H47" s="10" t="s">
        <v>81</v>
      </c>
      <c r="I47" s="10" t="s">
        <v>173</v>
      </c>
      <c r="J47" s="10"/>
      <c r="K47" s="11">
        <v>808</v>
      </c>
      <c r="L47" s="11">
        <v>4848</v>
      </c>
      <c r="M47" s="11"/>
      <c r="N47" s="11"/>
      <c r="O47" s="11"/>
      <c r="P47" s="11"/>
      <c r="Q47" s="11"/>
      <c r="R47" s="11"/>
      <c r="S47" s="11">
        <v>389</v>
      </c>
      <c r="T47" s="11"/>
      <c r="U47" s="11">
        <v>419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808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>
        <v>419</v>
      </c>
      <c r="AQ47" s="11"/>
      <c r="AR47" s="11"/>
      <c r="AS47" s="11">
        <v>389</v>
      </c>
      <c r="AT47" s="11"/>
      <c r="AU47" s="11"/>
      <c r="AV47" s="20" t="str">
        <f>HYPERLINK("http://www.openstreetmap.org/?mlat=33.4125&amp;mlon=43.3084&amp;zoom=12#map=12/33.4125/43.3084","Maplink1")</f>
        <v>Maplink1</v>
      </c>
      <c r="AW47" s="20" t="str">
        <f>HYPERLINK("https://www.google.iq/maps/search/+33.4125,43.3084/@33.4125,43.3084,14z?hl=en","Maplink2")</f>
        <v>Maplink2</v>
      </c>
      <c r="AX47" s="20" t="str">
        <f>HYPERLINK("http://www.bing.com/maps/?lvl=14&amp;sty=h&amp;cp=33.4125~43.3084&amp;sp=point.33.4125_43.3084","Maplink3")</f>
        <v>Maplink3</v>
      </c>
    </row>
    <row r="48" spans="1:50" x14ac:dyDescent="0.25">
      <c r="A48" s="9">
        <v>29580</v>
      </c>
      <c r="B48" s="10" t="s">
        <v>8</v>
      </c>
      <c r="C48" s="10" t="s">
        <v>171</v>
      </c>
      <c r="D48" s="10" t="s">
        <v>1107</v>
      </c>
      <c r="E48" s="10" t="s">
        <v>1108</v>
      </c>
      <c r="F48" s="10">
        <v>33.420703000000003</v>
      </c>
      <c r="G48" s="10">
        <v>43.291817000000002</v>
      </c>
      <c r="H48" s="10" t="s">
        <v>81</v>
      </c>
      <c r="I48" s="10" t="s">
        <v>173</v>
      </c>
      <c r="J48" s="10"/>
      <c r="K48" s="11">
        <v>626</v>
      </c>
      <c r="L48" s="11">
        <v>3756</v>
      </c>
      <c r="M48" s="11"/>
      <c r="N48" s="11"/>
      <c r="O48" s="11"/>
      <c r="P48" s="11"/>
      <c r="Q48" s="11"/>
      <c r="R48" s="11"/>
      <c r="S48" s="11">
        <v>265</v>
      </c>
      <c r="T48" s="11"/>
      <c r="U48" s="11"/>
      <c r="V48" s="11"/>
      <c r="W48" s="11"/>
      <c r="X48" s="11"/>
      <c r="Y48" s="11"/>
      <c r="Z48" s="11"/>
      <c r="AA48" s="11"/>
      <c r="AB48" s="11">
        <v>361</v>
      </c>
      <c r="AC48" s="11"/>
      <c r="AD48" s="11"/>
      <c r="AE48" s="11"/>
      <c r="AF48" s="11">
        <v>626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626</v>
      </c>
      <c r="AT48" s="11"/>
      <c r="AU48" s="11"/>
      <c r="AV48" s="20" t="str">
        <f>HYPERLINK("http://www.openstreetmap.org/?mlat=33.4207&amp;mlon=43.2918&amp;zoom=12#map=12/33.4207/43.2918","Maplink1")</f>
        <v>Maplink1</v>
      </c>
      <c r="AW48" s="20" t="str">
        <f>HYPERLINK("https://www.google.iq/maps/search/+33.4207,43.2918/@33.4207,43.2918,14z?hl=en","Maplink2")</f>
        <v>Maplink2</v>
      </c>
      <c r="AX48" s="20" t="str">
        <f>HYPERLINK("http://www.bing.com/maps/?lvl=14&amp;sty=h&amp;cp=33.4207~43.2918&amp;sp=point.33.4207_43.2918","Maplink3")</f>
        <v>Maplink3</v>
      </c>
    </row>
    <row r="49" spans="1:50" x14ac:dyDescent="0.25">
      <c r="A49" s="9">
        <v>311</v>
      </c>
      <c r="B49" s="10" t="s">
        <v>8</v>
      </c>
      <c r="C49" s="10" t="s">
        <v>171</v>
      </c>
      <c r="D49" s="10" t="s">
        <v>1218</v>
      </c>
      <c r="E49" s="10" t="s">
        <v>178</v>
      </c>
      <c r="F49" s="10">
        <v>33.430456</v>
      </c>
      <c r="G49" s="10">
        <v>43.292997999999997</v>
      </c>
      <c r="H49" s="10" t="s">
        <v>81</v>
      </c>
      <c r="I49" s="10" t="s">
        <v>173</v>
      </c>
      <c r="J49" s="10" t="s">
        <v>179</v>
      </c>
      <c r="K49" s="11">
        <v>1047</v>
      </c>
      <c r="L49" s="11">
        <v>6282</v>
      </c>
      <c r="M49" s="11">
        <v>582</v>
      </c>
      <c r="N49" s="11"/>
      <c r="O49" s="11">
        <v>153</v>
      </c>
      <c r="P49" s="11"/>
      <c r="Q49" s="11"/>
      <c r="R49" s="11"/>
      <c r="S49" s="11"/>
      <c r="T49" s="11"/>
      <c r="U49" s="11">
        <v>312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1047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>
        <v>582</v>
      </c>
      <c r="AQ49" s="11">
        <v>312</v>
      </c>
      <c r="AR49" s="11"/>
      <c r="AS49" s="11"/>
      <c r="AT49" s="11">
        <v>153</v>
      </c>
      <c r="AU49" s="11"/>
      <c r="AV49" s="20" t="str">
        <f>HYPERLINK("http://www.openstreetmap.org/?mlat=33.4305&amp;mlon=43.293&amp;zoom=12#map=12/33.4305/43.293","Maplink1")</f>
        <v>Maplink1</v>
      </c>
      <c r="AW49" s="20" t="str">
        <f>HYPERLINK("https://www.google.iq/maps/search/+33.4305,43.293/@33.4305,43.293,14z?hl=en","Maplink2")</f>
        <v>Maplink2</v>
      </c>
      <c r="AX49" s="20" t="str">
        <f>HYPERLINK("http://www.bing.com/maps/?lvl=14&amp;sty=h&amp;cp=33.4305~43.293&amp;sp=point.33.4305_43.293","Maplink3")</f>
        <v>Maplink3</v>
      </c>
    </row>
    <row r="50" spans="1:50" x14ac:dyDescent="0.25">
      <c r="A50" s="9">
        <v>25800</v>
      </c>
      <c r="B50" s="10" t="s">
        <v>8</v>
      </c>
      <c r="C50" s="10" t="s">
        <v>171</v>
      </c>
      <c r="D50" s="10" t="s">
        <v>1098</v>
      </c>
      <c r="E50" s="10" t="s">
        <v>1099</v>
      </c>
      <c r="F50" s="10">
        <v>33.430070999999998</v>
      </c>
      <c r="G50" s="10">
        <v>43.299576000000002</v>
      </c>
      <c r="H50" s="10" t="s">
        <v>81</v>
      </c>
      <c r="I50" s="10" t="s">
        <v>173</v>
      </c>
      <c r="J50" s="10"/>
      <c r="K50" s="11">
        <v>311</v>
      </c>
      <c r="L50" s="11">
        <v>1866</v>
      </c>
      <c r="M50" s="11"/>
      <c r="N50" s="11"/>
      <c r="O50" s="11"/>
      <c r="P50" s="11"/>
      <c r="Q50" s="11"/>
      <c r="R50" s="11"/>
      <c r="S50" s="11"/>
      <c r="T50" s="11"/>
      <c r="U50" s="11">
        <v>221</v>
      </c>
      <c r="V50" s="11"/>
      <c r="W50" s="11"/>
      <c r="X50" s="11"/>
      <c r="Y50" s="11"/>
      <c r="Z50" s="11"/>
      <c r="AA50" s="11">
        <v>90</v>
      </c>
      <c r="AB50" s="11"/>
      <c r="AC50" s="11"/>
      <c r="AD50" s="11"/>
      <c r="AE50" s="11"/>
      <c r="AF50" s="11">
        <v>311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>
        <v>221</v>
      </c>
      <c r="AQ50" s="11"/>
      <c r="AR50" s="11"/>
      <c r="AS50" s="11"/>
      <c r="AT50" s="11">
        <v>90</v>
      </c>
      <c r="AU50" s="11"/>
      <c r="AV50" s="20" t="str">
        <f>HYPERLINK("http://www.openstreetmap.org/?mlat=33.4301&amp;mlon=43.2996&amp;zoom=12#map=12/33.4301/43.2996","Maplink1")</f>
        <v>Maplink1</v>
      </c>
      <c r="AW50" s="20" t="str">
        <f>HYPERLINK("https://www.google.iq/maps/search/+33.4301,43.2996/@33.4301,43.2996,14z?hl=en","Maplink2")</f>
        <v>Maplink2</v>
      </c>
      <c r="AX50" s="20" t="str">
        <f>HYPERLINK("http://www.bing.com/maps/?lvl=14&amp;sty=h&amp;cp=33.4301~43.2996&amp;sp=point.33.4301_43.2996_Al-Katanah","Maplink3")</f>
        <v>Maplink3</v>
      </c>
    </row>
    <row r="51" spans="1:50" x14ac:dyDescent="0.25">
      <c r="A51" s="9">
        <v>24730</v>
      </c>
      <c r="B51" s="10" t="s">
        <v>8</v>
      </c>
      <c r="C51" s="10" t="s">
        <v>171</v>
      </c>
      <c r="D51" s="10" t="s">
        <v>174</v>
      </c>
      <c r="E51" s="10" t="s">
        <v>175</v>
      </c>
      <c r="F51" s="10">
        <v>33.378565000000002</v>
      </c>
      <c r="G51" s="10">
        <v>43.532009000000002</v>
      </c>
      <c r="H51" s="10" t="s">
        <v>81</v>
      </c>
      <c r="I51" s="10" t="s">
        <v>173</v>
      </c>
      <c r="J51" s="10"/>
      <c r="K51" s="11">
        <v>97</v>
      </c>
      <c r="L51" s="11">
        <v>582</v>
      </c>
      <c r="M51" s="11"/>
      <c r="N51" s="11"/>
      <c r="O51" s="11">
        <v>97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97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>
        <v>97</v>
      </c>
      <c r="AU51" s="11"/>
      <c r="AV51" s="20" t="str">
        <f>HYPERLINK("http://www.openstreetmap.org/?mlat=33.3786&amp;mlon=43.532&amp;zoom=12#map=12/33.3786/43.532","Maplink1")</f>
        <v>Maplink1</v>
      </c>
      <c r="AW51" s="20" t="str">
        <f>HYPERLINK("https://www.google.iq/maps/search/+33.3786,43.532/@33.3786,43.532,14z?hl=en","Maplink2")</f>
        <v>Maplink2</v>
      </c>
      <c r="AX51" s="20" t="str">
        <f>HYPERLINK("http://www.bing.com/maps/?lvl=14&amp;sty=h&amp;cp=33.3786~43.532&amp;sp=point.33.3786_43.532_Al Khulafaa","Maplink3")</f>
        <v>Maplink3</v>
      </c>
    </row>
    <row r="52" spans="1:50" x14ac:dyDescent="0.25">
      <c r="A52" s="9">
        <v>29581</v>
      </c>
      <c r="B52" s="10" t="s">
        <v>8</v>
      </c>
      <c r="C52" s="10" t="s">
        <v>171</v>
      </c>
      <c r="D52" s="10" t="s">
        <v>1109</v>
      </c>
      <c r="E52" s="10" t="s">
        <v>1110</v>
      </c>
      <c r="F52" s="10">
        <v>33.415472999999999</v>
      </c>
      <c r="G52" s="10">
        <v>43.220742000000001</v>
      </c>
      <c r="H52" s="10" t="s">
        <v>81</v>
      </c>
      <c r="I52" s="10" t="s">
        <v>173</v>
      </c>
      <c r="J52" s="10"/>
      <c r="K52" s="11">
        <v>350</v>
      </c>
      <c r="L52" s="11">
        <v>2100</v>
      </c>
      <c r="M52" s="11"/>
      <c r="N52" s="11"/>
      <c r="O52" s="11">
        <v>161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>
        <v>189</v>
      </c>
      <c r="AC52" s="11"/>
      <c r="AD52" s="11"/>
      <c r="AE52" s="11"/>
      <c r="AF52" s="11">
        <v>350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>
        <v>350</v>
      </c>
      <c r="AT52" s="11"/>
      <c r="AU52" s="11"/>
      <c r="AV52" s="20" t="str">
        <f>HYPERLINK("http://www.openstreetmap.org/?mlat=33.4155&amp;mlon=43.2207&amp;zoom=12#map=12/33.4155/43.2207","Maplink1")</f>
        <v>Maplink1</v>
      </c>
      <c r="AW52" s="20" t="str">
        <f>HYPERLINK("https://www.google.iq/maps/search/+33.4155,43.2207/@33.4155,43.2207,14z?hl=en","Maplink2")</f>
        <v>Maplink2</v>
      </c>
      <c r="AX52" s="20" t="str">
        <f>HYPERLINK("http://www.bing.com/maps/?lvl=14&amp;sty=h&amp;cp=33.4155~43.2207&amp;sp=point.33.4155_43.2207","Maplink3")</f>
        <v>Maplink3</v>
      </c>
    </row>
    <row r="53" spans="1:50" x14ac:dyDescent="0.25">
      <c r="A53" s="9">
        <v>181</v>
      </c>
      <c r="B53" s="10" t="s">
        <v>8</v>
      </c>
      <c r="C53" s="10" t="s">
        <v>171</v>
      </c>
      <c r="D53" s="10" t="s">
        <v>1111</v>
      </c>
      <c r="E53" s="10" t="s">
        <v>1112</v>
      </c>
      <c r="F53" s="10">
        <v>33.408788000000001</v>
      </c>
      <c r="G53" s="10">
        <v>43.287788999999997</v>
      </c>
      <c r="H53" s="10" t="s">
        <v>81</v>
      </c>
      <c r="I53" s="10" t="s">
        <v>173</v>
      </c>
      <c r="J53" s="10" t="s">
        <v>1113</v>
      </c>
      <c r="K53" s="11">
        <v>547</v>
      </c>
      <c r="L53" s="11">
        <v>3282</v>
      </c>
      <c r="M53" s="11">
        <v>176</v>
      </c>
      <c r="N53" s="11"/>
      <c r="O53" s="11"/>
      <c r="P53" s="11"/>
      <c r="Q53" s="11"/>
      <c r="R53" s="11"/>
      <c r="S53" s="11">
        <v>371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547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>
        <v>176</v>
      </c>
      <c r="AT53" s="11">
        <v>371</v>
      </c>
      <c r="AU53" s="11"/>
      <c r="AV53" s="20" t="str">
        <f>HYPERLINK("http://www.openstreetmap.org/?mlat=33.4088&amp;mlon=43.2878&amp;zoom=12#map=12/33.4088/43.2878","Maplink1")</f>
        <v>Maplink1</v>
      </c>
      <c r="AW53" s="20" t="str">
        <f>HYPERLINK("https://www.google.iq/maps/search/+33.4088,43.2878/@33.4088,43.2878,14z?hl=en","Maplink2")</f>
        <v>Maplink2</v>
      </c>
      <c r="AX53" s="20" t="str">
        <f>HYPERLINK("http://www.bing.com/maps/?lvl=14&amp;sty=h&amp;cp=33.4088~43.2878&amp;sp=point.33.4088_43.2878_Qadisiya-2","Maplink3")</f>
        <v>Maplink3</v>
      </c>
    </row>
    <row r="54" spans="1:50" x14ac:dyDescent="0.25">
      <c r="A54" s="9">
        <v>25440</v>
      </c>
      <c r="B54" s="10" t="s">
        <v>8</v>
      </c>
      <c r="C54" s="10" t="s">
        <v>171</v>
      </c>
      <c r="D54" s="10" t="s">
        <v>1101</v>
      </c>
      <c r="E54" s="10" t="s">
        <v>1090</v>
      </c>
      <c r="F54" s="10">
        <v>33.432822999999999</v>
      </c>
      <c r="G54" s="10">
        <v>43.364002999999997</v>
      </c>
      <c r="H54" s="10" t="s">
        <v>81</v>
      </c>
      <c r="I54" s="10" t="s">
        <v>173</v>
      </c>
      <c r="J54" s="10"/>
      <c r="K54" s="11">
        <v>235</v>
      </c>
      <c r="L54" s="11">
        <v>1410</v>
      </c>
      <c r="M54" s="11">
        <v>54</v>
      </c>
      <c r="N54" s="11"/>
      <c r="O54" s="11">
        <v>181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235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>
        <v>54</v>
      </c>
      <c r="AQ54" s="11"/>
      <c r="AR54" s="11"/>
      <c r="AS54" s="11"/>
      <c r="AT54" s="11">
        <v>181</v>
      </c>
      <c r="AU54" s="11"/>
      <c r="AV54" s="20" t="str">
        <f>HYPERLINK("http://www.openstreetmap.org/?mlat=33.4328&amp;mlon=43.364&amp;zoom=12#map=12/33.4328/43.364","Maplink1")</f>
        <v>Maplink1</v>
      </c>
      <c r="AW54" s="20" t="str">
        <f>HYPERLINK("https://www.google.iq/maps/search/+33.4328,43.364/@33.4328,43.364,14z?hl=en","Maplink2")</f>
        <v>Maplink2</v>
      </c>
      <c r="AX54" s="20" t="str">
        <f>HYPERLINK("http://www.bing.com/maps/?lvl=14&amp;sty=h&amp;cp=33.4328~43.364&amp;sp=point.33.4328_43.364_Al Sajariyah","Maplink3")</f>
        <v>Maplink3</v>
      </c>
    </row>
    <row r="55" spans="1:50" x14ac:dyDescent="0.25">
      <c r="A55" s="9">
        <v>29534</v>
      </c>
      <c r="B55" s="10" t="s">
        <v>8</v>
      </c>
      <c r="C55" s="10" t="s">
        <v>171</v>
      </c>
      <c r="D55" s="10" t="s">
        <v>924</v>
      </c>
      <c r="E55" s="10" t="s">
        <v>186</v>
      </c>
      <c r="F55" s="10">
        <v>33.398747</v>
      </c>
      <c r="G55" s="10">
        <v>43.281571</v>
      </c>
      <c r="H55" s="10" t="s">
        <v>81</v>
      </c>
      <c r="I55" s="10" t="s">
        <v>173</v>
      </c>
      <c r="J55" s="10"/>
      <c r="K55" s="11">
        <v>518</v>
      </c>
      <c r="L55" s="11">
        <v>3108</v>
      </c>
      <c r="M55" s="11">
        <v>290</v>
      </c>
      <c r="N55" s="11">
        <v>228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518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>
        <v>518</v>
      </c>
      <c r="AT55" s="11"/>
      <c r="AU55" s="11"/>
      <c r="AV55" s="20" t="str">
        <f>HYPERLINK("http://www.openstreetmap.org/?mlat=33.3987&amp;mlon=43.2816&amp;zoom=12#map=12/33.3987/43.2816","Maplink1")</f>
        <v>Maplink1</v>
      </c>
      <c r="AW55" s="20" t="str">
        <f>HYPERLINK("https://www.google.iq/maps/search/+33.3987,43.2816/@33.3987,43.2816,14z?hl=en","Maplink2")</f>
        <v>Maplink2</v>
      </c>
      <c r="AX55" s="20" t="str">
        <f>HYPERLINK("http://www.bing.com/maps/?lvl=14&amp;sty=h&amp;cp=33.3987~43.2816&amp;sp=point.33.3987_43.2816","Maplink3")</f>
        <v>Maplink3</v>
      </c>
    </row>
    <row r="56" spans="1:50" x14ac:dyDescent="0.25">
      <c r="A56" s="9">
        <v>115</v>
      </c>
      <c r="B56" s="10" t="s">
        <v>8</v>
      </c>
      <c r="C56" s="10" t="s">
        <v>171</v>
      </c>
      <c r="D56" s="10" t="s">
        <v>1077</v>
      </c>
      <c r="E56" s="10" t="s">
        <v>1078</v>
      </c>
      <c r="F56" s="10">
        <v>33.438446999999996</v>
      </c>
      <c r="G56" s="10">
        <v>43.325181000000001</v>
      </c>
      <c r="H56" s="10" t="s">
        <v>81</v>
      </c>
      <c r="I56" s="10" t="s">
        <v>173</v>
      </c>
      <c r="J56" s="10" t="s">
        <v>1079</v>
      </c>
      <c r="K56" s="11">
        <v>181</v>
      </c>
      <c r="L56" s="11">
        <v>1086</v>
      </c>
      <c r="M56" s="11">
        <v>100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>
        <v>81</v>
      </c>
      <c r="AC56" s="11"/>
      <c r="AD56" s="11"/>
      <c r="AE56" s="11"/>
      <c r="AF56" s="11">
        <v>181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v>100</v>
      </c>
      <c r="AQ56" s="11"/>
      <c r="AR56" s="11"/>
      <c r="AS56" s="11"/>
      <c r="AT56" s="11">
        <v>81</v>
      </c>
      <c r="AU56" s="11"/>
      <c r="AV56" s="20" t="str">
        <f>HYPERLINK("http://www.openstreetmap.org/?mlat=33.4384&amp;mlon=43.3252&amp;zoom=12#map=12/33.4384/43.3252","Maplink1")</f>
        <v>Maplink1</v>
      </c>
      <c r="AW56" s="20" t="str">
        <f>HYPERLINK("https://www.google.iq/maps/search/+33.4384,43.3252/@33.4384,43.3252,14z?hl=en","Maplink2")</f>
        <v>Maplink2</v>
      </c>
      <c r="AX56" s="20" t="str">
        <f>HYPERLINK("http://www.bing.com/maps/?lvl=14&amp;sty=h&amp;cp=33.4384~43.3252&amp;sp=point.33.4384_43.3252_Al Sofeya","Maplink3")</f>
        <v>Maplink3</v>
      </c>
    </row>
    <row r="57" spans="1:50" x14ac:dyDescent="0.25">
      <c r="A57" s="9">
        <v>25441</v>
      </c>
      <c r="B57" s="10" t="s">
        <v>8</v>
      </c>
      <c r="C57" s="10" t="s">
        <v>171</v>
      </c>
      <c r="D57" s="10" t="s">
        <v>176</v>
      </c>
      <c r="E57" s="10" t="s">
        <v>177</v>
      </c>
      <c r="F57" s="10">
        <v>33.438257999999998</v>
      </c>
      <c r="G57" s="10">
        <v>43.351342000000002</v>
      </c>
      <c r="H57" s="10" t="s">
        <v>81</v>
      </c>
      <c r="I57" s="10" t="s">
        <v>173</v>
      </c>
      <c r="J57" s="10"/>
      <c r="K57" s="11">
        <v>589</v>
      </c>
      <c r="L57" s="11">
        <v>3534</v>
      </c>
      <c r="M57" s="11">
        <v>371</v>
      </c>
      <c r="N57" s="11"/>
      <c r="O57" s="11">
        <v>218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589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84</v>
      </c>
      <c r="AQ57" s="11">
        <v>505</v>
      </c>
      <c r="AR57" s="11"/>
      <c r="AS57" s="11"/>
      <c r="AT57" s="11"/>
      <c r="AU57" s="11"/>
      <c r="AV57" s="20" t="str">
        <f>HYPERLINK("http://www.openstreetmap.org/?mlat=33.4383&amp;mlon=43.3513&amp;zoom=12#map=12/33.4383/43.3513","Maplink1")</f>
        <v>Maplink1</v>
      </c>
      <c r="AW57" s="20" t="str">
        <f>HYPERLINK("https://www.google.iq/maps/search/+33.4383,43.3513/@33.4383,43.3513,14z?hl=en","Maplink2")</f>
        <v>Maplink2</v>
      </c>
      <c r="AX57" s="20" t="str">
        <f>HYPERLINK("http://www.bing.com/maps/?lvl=14&amp;sty=h&amp;cp=33.4383~43.3513&amp;sp=point.33.4383_43.3513_Al Soora","Maplink3")</f>
        <v>Maplink3</v>
      </c>
    </row>
    <row r="58" spans="1:50" x14ac:dyDescent="0.25">
      <c r="A58" s="9">
        <v>21403</v>
      </c>
      <c r="B58" s="10" t="s">
        <v>8</v>
      </c>
      <c r="C58" s="10" t="s">
        <v>171</v>
      </c>
      <c r="D58" s="10" t="s">
        <v>1114</v>
      </c>
      <c r="E58" s="10" t="s">
        <v>1115</v>
      </c>
      <c r="F58" s="10">
        <v>33.428455</v>
      </c>
      <c r="G58" s="10">
        <v>43.361165</v>
      </c>
      <c r="H58" s="10" t="s">
        <v>81</v>
      </c>
      <c r="I58" s="10" t="s">
        <v>173</v>
      </c>
      <c r="J58" s="10" t="s">
        <v>1116</v>
      </c>
      <c r="K58" s="11">
        <v>589</v>
      </c>
      <c r="L58" s="11">
        <v>3534</v>
      </c>
      <c r="M58" s="11"/>
      <c r="N58" s="11"/>
      <c r="O58" s="11">
        <v>390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>
        <v>199</v>
      </c>
      <c r="AC58" s="11"/>
      <c r="AD58" s="11"/>
      <c r="AE58" s="11"/>
      <c r="AF58" s="11">
        <v>589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>
        <v>199</v>
      </c>
      <c r="AR58" s="11"/>
      <c r="AS58" s="11">
        <v>390</v>
      </c>
      <c r="AT58" s="11"/>
      <c r="AU58" s="11"/>
      <c r="AV58" s="20" t="str">
        <f>HYPERLINK("http://www.openstreetmap.org/?mlat=33.4285&amp;mlon=43.3612&amp;zoom=12#map=12/33.4285/43.3612","Maplink1")</f>
        <v>Maplink1</v>
      </c>
      <c r="AW58" s="20" t="str">
        <f>HYPERLINK("https://www.google.iq/maps/search/+33.4285,43.3612/@33.4285,43.3612,14z?hl=en","Maplink2")</f>
        <v>Maplink2</v>
      </c>
      <c r="AX58" s="20" t="str">
        <f>HYPERLINK("http://www.bing.com/maps/?lvl=14&amp;sty=h&amp;cp=33.4285~43.3612&amp;sp=point.33.4285_43.3612","Maplink3")</f>
        <v>Maplink3</v>
      </c>
    </row>
    <row r="59" spans="1:50" x14ac:dyDescent="0.25">
      <c r="A59" s="9">
        <v>23891</v>
      </c>
      <c r="B59" s="10" t="s">
        <v>8</v>
      </c>
      <c r="C59" s="10" t="s">
        <v>171</v>
      </c>
      <c r="D59" s="10" t="s">
        <v>1133</v>
      </c>
      <c r="E59" s="10" t="s">
        <v>1134</v>
      </c>
      <c r="F59" s="10">
        <v>33.374498000000003</v>
      </c>
      <c r="G59" s="10">
        <v>42.847051999999998</v>
      </c>
      <c r="H59" s="10" t="s">
        <v>81</v>
      </c>
      <c r="I59" s="10" t="s">
        <v>173</v>
      </c>
      <c r="J59" s="10" t="s">
        <v>1135</v>
      </c>
      <c r="K59" s="11">
        <v>451</v>
      </c>
      <c r="L59" s="11">
        <v>2706</v>
      </c>
      <c r="M59" s="11"/>
      <c r="N59" s="11"/>
      <c r="O59" s="11"/>
      <c r="P59" s="11"/>
      <c r="Q59" s="11"/>
      <c r="R59" s="11"/>
      <c r="S59" s="11">
        <v>451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451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>
        <v>451</v>
      </c>
      <c r="AU59" s="11"/>
      <c r="AV59" s="20" t="str">
        <f>HYPERLINK("http://www.openstreetmap.org/?mlat=33.3745&amp;mlon=42.8471&amp;zoom=12#map=12/33.3745/42.8471","Maplink1")</f>
        <v>Maplink1</v>
      </c>
      <c r="AW59" s="20" t="str">
        <f>HYPERLINK("https://www.google.iq/maps/search/+33.3745,42.8471/@33.3745,42.8471,14z?hl=en","Maplink2")</f>
        <v>Maplink2</v>
      </c>
      <c r="AX59" s="20" t="str">
        <f>HYPERLINK("http://www.bing.com/maps/?lvl=14&amp;sty=h&amp;cp=33.3745~42.8471&amp;sp=point.33.3745_42.8471_Al-Ankor","Maplink3")</f>
        <v>Maplink3</v>
      </c>
    </row>
    <row r="60" spans="1:50" x14ac:dyDescent="0.25">
      <c r="A60" s="9">
        <v>21227</v>
      </c>
      <c r="B60" s="10" t="s">
        <v>8</v>
      </c>
      <c r="C60" s="10" t="s">
        <v>171</v>
      </c>
      <c r="D60" s="10" t="s">
        <v>1102</v>
      </c>
      <c r="E60" s="10" t="s">
        <v>1091</v>
      </c>
      <c r="F60" s="10">
        <v>33.465560000000004</v>
      </c>
      <c r="G60" s="10">
        <v>43.279260999999998</v>
      </c>
      <c r="H60" s="10" t="s">
        <v>81</v>
      </c>
      <c r="I60" s="10" t="s">
        <v>173</v>
      </c>
      <c r="J60" s="10" t="s">
        <v>1092</v>
      </c>
      <c r="K60" s="11">
        <v>378</v>
      </c>
      <c r="L60" s="11">
        <v>2268</v>
      </c>
      <c r="M60" s="11">
        <v>85</v>
      </c>
      <c r="N60" s="11"/>
      <c r="O60" s="11"/>
      <c r="P60" s="11"/>
      <c r="Q60" s="11"/>
      <c r="R60" s="11"/>
      <c r="S60" s="11">
        <v>293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v>378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>
        <v>378</v>
      </c>
      <c r="AQ60" s="11"/>
      <c r="AR60" s="11"/>
      <c r="AS60" s="11"/>
      <c r="AT60" s="11"/>
      <c r="AU60" s="11"/>
      <c r="AV60" s="20" t="str">
        <f>HYPERLINK("http://www.openstreetmap.org/?mlat=33.4656&amp;mlon=43.2793&amp;zoom=12#map=12/33.4656/43.2793","Maplink1")</f>
        <v>Maplink1</v>
      </c>
      <c r="AW60" s="20" t="str">
        <f>HYPERLINK("https://www.google.iq/maps/search/+33.4656,43.2793/@33.4656,43.2793,14z?hl=en","Maplink2")</f>
        <v>Maplink2</v>
      </c>
      <c r="AX60" s="20" t="str">
        <f>HYPERLINK("http://www.bing.com/maps/?lvl=14&amp;sty=h&amp;cp=33.4656~43.2793&amp;sp=point.33.4656_43.2793_Al-Jeraishi","Maplink3")</f>
        <v>Maplink3</v>
      </c>
    </row>
    <row r="61" spans="1:50" x14ac:dyDescent="0.25">
      <c r="A61" s="9">
        <v>23857</v>
      </c>
      <c r="B61" s="10" t="s">
        <v>8</v>
      </c>
      <c r="C61" s="10" t="s">
        <v>171</v>
      </c>
      <c r="D61" s="10" t="s">
        <v>180</v>
      </c>
      <c r="E61" s="10" t="s">
        <v>181</v>
      </c>
      <c r="F61" s="10">
        <v>33.392502</v>
      </c>
      <c r="G61" s="10">
        <v>43.497919000000003</v>
      </c>
      <c r="H61" s="10" t="s">
        <v>81</v>
      </c>
      <c r="I61" s="10" t="s">
        <v>173</v>
      </c>
      <c r="J61" s="10" t="s">
        <v>182</v>
      </c>
      <c r="K61" s="11">
        <v>1145</v>
      </c>
      <c r="L61" s="11">
        <v>6870</v>
      </c>
      <c r="M61" s="11">
        <v>1115</v>
      </c>
      <c r="N61" s="11"/>
      <c r="O61" s="11">
        <v>25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>
        <v>5</v>
      </c>
      <c r="AC61" s="11"/>
      <c r="AD61" s="11"/>
      <c r="AE61" s="11"/>
      <c r="AF61" s="11">
        <v>1145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>
        <v>1145</v>
      </c>
      <c r="AV61" s="20" t="str">
        <f>HYPERLINK("http://www.openstreetmap.org/?mlat=33.3925&amp;mlon=43.4979&amp;zoom=12#map=12/33.3925/43.4979","Maplink1")</f>
        <v>Maplink1</v>
      </c>
      <c r="AW61" s="20" t="str">
        <f>HYPERLINK("https://www.google.iq/maps/search/+33.3925,43.4979/@33.3925,43.4979,14z?hl=en","Maplink2")</f>
        <v>Maplink2</v>
      </c>
      <c r="AX61" s="20" t="str">
        <f>HYPERLINK("http://www.bing.com/maps/?lvl=14&amp;sty=h&amp;cp=33.3925~43.4979&amp;sp=point.33.3925_43.4979_Al-Sadiqiyah","Maplink3")</f>
        <v>Maplink3</v>
      </c>
    </row>
    <row r="62" spans="1:50" x14ac:dyDescent="0.25">
      <c r="A62" s="9">
        <v>185</v>
      </c>
      <c r="B62" s="10" t="s">
        <v>8</v>
      </c>
      <c r="C62" s="10" t="s">
        <v>171</v>
      </c>
      <c r="D62" s="10" t="s">
        <v>183</v>
      </c>
      <c r="E62" s="10" t="s">
        <v>184</v>
      </c>
      <c r="F62" s="10">
        <v>33.430365999999999</v>
      </c>
      <c r="G62" s="10">
        <v>43.312452</v>
      </c>
      <c r="H62" s="10" t="s">
        <v>81</v>
      </c>
      <c r="I62" s="10" t="s">
        <v>173</v>
      </c>
      <c r="J62" s="10" t="s">
        <v>185</v>
      </c>
      <c r="K62" s="11">
        <v>565</v>
      </c>
      <c r="L62" s="11">
        <v>3390</v>
      </c>
      <c r="M62" s="11">
        <v>275</v>
      </c>
      <c r="N62" s="11"/>
      <c r="O62" s="11"/>
      <c r="P62" s="11"/>
      <c r="Q62" s="11"/>
      <c r="R62" s="11"/>
      <c r="S62" s="11">
        <v>290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v>565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v>565</v>
      </c>
      <c r="AQ62" s="11"/>
      <c r="AR62" s="11"/>
      <c r="AS62" s="11"/>
      <c r="AT62" s="11"/>
      <c r="AU62" s="11"/>
      <c r="AV62" s="20" t="str">
        <f>HYPERLINK("http://www.openstreetmap.org/?mlat=33.4305&amp;mlon=43.3135&amp;zoom=12#map=12/33.4305/43.3135","Maplink1")</f>
        <v>Maplink1</v>
      </c>
      <c r="AW62" s="20" t="str">
        <f>HYPERLINK("https://www.google.iq/maps/search/+33.4305,43.3135/@33.4305,43.3135,14z?hl=en","Maplink2")</f>
        <v>Maplink2</v>
      </c>
      <c r="AX62" s="20" t="str">
        <f>HYPERLINK("http://www.bing.com/maps/?lvl=14&amp;sty=h&amp;cp=33.4305~43.3135&amp;sp=point.33.4305_43.3135_Al-Shareka","Maplink3")</f>
        <v>Maplink3</v>
      </c>
    </row>
    <row r="63" spans="1:50" x14ac:dyDescent="0.25">
      <c r="A63" s="9">
        <v>206</v>
      </c>
      <c r="B63" s="10" t="s">
        <v>8</v>
      </c>
      <c r="C63" s="10" t="s">
        <v>171</v>
      </c>
      <c r="D63" s="10" t="s">
        <v>187</v>
      </c>
      <c r="E63" s="10" t="s">
        <v>372</v>
      </c>
      <c r="F63" s="10">
        <v>33.386231000000002</v>
      </c>
      <c r="G63" s="10">
        <v>43.524839</v>
      </c>
      <c r="H63" s="10" t="s">
        <v>81</v>
      </c>
      <c r="I63" s="10" t="s">
        <v>173</v>
      </c>
      <c r="J63" s="10" t="s">
        <v>188</v>
      </c>
      <c r="K63" s="11">
        <v>59</v>
      </c>
      <c r="L63" s="11">
        <v>354</v>
      </c>
      <c r="M63" s="11"/>
      <c r="N63" s="11"/>
      <c r="O63" s="11">
        <v>59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v>59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>
        <v>59</v>
      </c>
      <c r="AU63" s="11"/>
      <c r="AV63" s="20" t="str">
        <f>HYPERLINK("http://www.openstreetmap.org/?mlat=33.3755&amp;mlon=43.5354&amp;zoom=12#map=12/33.3755/43.5354","Maplink1")</f>
        <v>Maplink1</v>
      </c>
      <c r="AW63" s="20" t="str">
        <f>HYPERLINK("https://www.google.iq/maps/search/+33.3755,43.5354/@33.3755,43.5354,14z?hl=en","Maplink2")</f>
        <v>Maplink2</v>
      </c>
      <c r="AX63" s="20" t="str">
        <f>HYPERLINK("http://www.bing.com/maps/?lvl=14&amp;sty=h&amp;cp=33.3755~43.5354&amp;sp=point.33.3755_43.5354_Al-Shuhadaa","Maplink3")</f>
        <v>Maplink3</v>
      </c>
    </row>
    <row r="64" spans="1:50" x14ac:dyDescent="0.25">
      <c r="A64" s="9">
        <v>297</v>
      </c>
      <c r="B64" s="10" t="s">
        <v>8</v>
      </c>
      <c r="C64" s="10" t="s">
        <v>171</v>
      </c>
      <c r="D64" s="10" t="s">
        <v>1136</v>
      </c>
      <c r="E64" s="10" t="s">
        <v>1137</v>
      </c>
      <c r="F64" s="10">
        <v>33.434693000000003</v>
      </c>
      <c r="G64" s="10">
        <v>43.297004000000001</v>
      </c>
      <c r="H64" s="10" t="s">
        <v>81</v>
      </c>
      <c r="I64" s="10" t="s">
        <v>173</v>
      </c>
      <c r="J64" s="10" t="s">
        <v>1138</v>
      </c>
      <c r="K64" s="11">
        <v>430</v>
      </c>
      <c r="L64" s="11">
        <v>2580</v>
      </c>
      <c r="M64" s="11">
        <v>430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430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>
        <v>430</v>
      </c>
      <c r="AU64" s="11"/>
      <c r="AV64" s="20" t="str">
        <f>HYPERLINK("http://www.openstreetmap.org/?mlat=33.4347&amp;mlon=43.297&amp;zoom=12#map=12/33.4347/43.297","Maplink1")</f>
        <v>Maplink1</v>
      </c>
      <c r="AW64" s="20" t="str">
        <f>HYPERLINK("https://www.google.iq/maps/search/+33.4347,43.297/@33.4347,43.297,14z?hl=en","Maplink2")</f>
        <v>Maplink2</v>
      </c>
      <c r="AX64" s="20" t="str">
        <f>HYPERLINK("http://www.bing.com/maps/?lvl=14&amp;sty=h&amp;cp=33.4347~43.297&amp;sp=point.33.4347_43.297_Al-Thilah","Maplink3")</f>
        <v>Maplink3</v>
      </c>
    </row>
    <row r="65" spans="1:50" x14ac:dyDescent="0.25">
      <c r="A65" s="9">
        <v>29486</v>
      </c>
      <c r="B65" s="10" t="s">
        <v>8</v>
      </c>
      <c r="C65" s="10" t="s">
        <v>171</v>
      </c>
      <c r="D65" s="10" t="s">
        <v>1219</v>
      </c>
      <c r="E65" s="10" t="s">
        <v>189</v>
      </c>
      <c r="F65" s="10">
        <v>33.435153</v>
      </c>
      <c r="G65" s="10">
        <v>43.319515000000003</v>
      </c>
      <c r="H65" s="10" t="s">
        <v>81</v>
      </c>
      <c r="I65" s="10" t="s">
        <v>173</v>
      </c>
      <c r="J65" s="10"/>
      <c r="K65" s="11">
        <v>406</v>
      </c>
      <c r="L65" s="11">
        <v>2436</v>
      </c>
      <c r="M65" s="11">
        <v>361</v>
      </c>
      <c r="N65" s="11">
        <v>45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>
        <v>406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>
        <v>361</v>
      </c>
      <c r="AR65" s="11"/>
      <c r="AS65" s="11"/>
      <c r="AT65" s="11">
        <v>45</v>
      </c>
      <c r="AU65" s="11"/>
      <c r="AV65" s="20" t="str">
        <f>HYPERLINK("http://www.openstreetmap.org/?mlat=33.4352&amp;mlon=43.3195&amp;zoom=12#map=12/33.4352/43.3195","Maplink1")</f>
        <v>Maplink1</v>
      </c>
      <c r="AW65" s="20" t="str">
        <f>HYPERLINK("https://www.google.iq/maps/search/+33.4352,43.3195/@33.4352,43.3195,14z?hl=en","Maplink2")</f>
        <v>Maplink2</v>
      </c>
      <c r="AX65" s="20" t="str">
        <f>HYPERLINK("http://www.bing.com/maps/?lvl=14&amp;sty=h&amp;cp=33.4352~43.3195&amp;sp=point.33.4352_43.3195","Maplink3")</f>
        <v>Maplink3</v>
      </c>
    </row>
    <row r="66" spans="1:50" x14ac:dyDescent="0.25">
      <c r="A66" s="9">
        <v>204</v>
      </c>
      <c r="B66" s="10" t="s">
        <v>8</v>
      </c>
      <c r="C66" s="10" t="s">
        <v>171</v>
      </c>
      <c r="D66" s="10" t="s">
        <v>1117</v>
      </c>
      <c r="E66" s="10" t="s">
        <v>1118</v>
      </c>
      <c r="F66" s="10">
        <v>33.412877000000002</v>
      </c>
      <c r="G66" s="10">
        <v>43.274667999999998</v>
      </c>
      <c r="H66" s="10" t="s">
        <v>81</v>
      </c>
      <c r="I66" s="10" t="s">
        <v>173</v>
      </c>
      <c r="J66" s="10" t="s">
        <v>1119</v>
      </c>
      <c r="K66" s="11">
        <v>626</v>
      </c>
      <c r="L66" s="11">
        <v>3756</v>
      </c>
      <c r="M66" s="11"/>
      <c r="N66" s="11"/>
      <c r="O66" s="11">
        <v>392</v>
      </c>
      <c r="P66" s="11"/>
      <c r="Q66" s="11"/>
      <c r="R66" s="11"/>
      <c r="S66" s="11"/>
      <c r="T66" s="11"/>
      <c r="U66" s="11">
        <v>234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626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v>234</v>
      </c>
      <c r="AQ66" s="11"/>
      <c r="AR66" s="11"/>
      <c r="AS66" s="11">
        <v>392</v>
      </c>
      <c r="AT66" s="11"/>
      <c r="AU66" s="11"/>
      <c r="AV66" s="20" t="str">
        <f>HYPERLINK("http://www.openstreetmap.org/?mlat=33.4129&amp;mlon=43.2747&amp;zoom=12#map=12/33.4129/43.2747","Maplink1")</f>
        <v>Maplink1</v>
      </c>
      <c r="AW66" s="20" t="str">
        <f>HYPERLINK("https://www.google.iq/maps/search/+33.4129,43.2747/@33.4129,43.2747,14z?hl=en","Maplink2")</f>
        <v>Maplink2</v>
      </c>
      <c r="AX66" s="20" t="str">
        <f>HYPERLINK("http://www.bing.com/maps/?lvl=14&amp;sty=h&amp;cp=33.4129~43.2747&amp;sp=point.33.4129_43.2747","Maplink3")</f>
        <v>Maplink3</v>
      </c>
    </row>
    <row r="67" spans="1:50" x14ac:dyDescent="0.25">
      <c r="A67" s="9">
        <v>29561</v>
      </c>
      <c r="B67" s="10" t="s">
        <v>8</v>
      </c>
      <c r="C67" s="10" t="s">
        <v>171</v>
      </c>
      <c r="D67" s="10" t="s">
        <v>1139</v>
      </c>
      <c r="E67" s="10" t="s">
        <v>172</v>
      </c>
      <c r="F67" s="10">
        <v>33.252234999999999</v>
      </c>
      <c r="G67" s="10">
        <v>43.154100999999997</v>
      </c>
      <c r="H67" s="10" t="s">
        <v>81</v>
      </c>
      <c r="I67" s="10" t="s">
        <v>173</v>
      </c>
      <c r="J67" s="10"/>
      <c r="K67" s="11">
        <v>155</v>
      </c>
      <c r="L67" s="11">
        <v>930</v>
      </c>
      <c r="M67" s="11">
        <v>74</v>
      </c>
      <c r="N67" s="11"/>
      <c r="O67" s="11"/>
      <c r="P67" s="11"/>
      <c r="Q67" s="11"/>
      <c r="R67" s="11"/>
      <c r="S67" s="11">
        <v>81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155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>
        <v>155</v>
      </c>
      <c r="AU67" s="11"/>
      <c r="AV67" s="20" t="str">
        <f>HYPERLINK("http://www.openstreetmap.org/?mlat=33.2522&amp;mlon=43.1541&amp;zoom=12#map=12/33.2522/43.1541","Maplink1")</f>
        <v>Maplink1</v>
      </c>
      <c r="AW67" s="20" t="str">
        <f>HYPERLINK("https://www.google.iq/maps/search/+33.2522,43.1541/@33.2522,43.1541,14z?hl=en","Maplink2")</f>
        <v>Maplink2</v>
      </c>
      <c r="AX67" s="20" t="str">
        <f>HYPERLINK("http://www.bing.com/maps/?lvl=14&amp;sty=h&amp;cp=33.2522~43.1541&amp;sp=point.33.2522_43.1541","Maplink3")</f>
        <v>Maplink3</v>
      </c>
    </row>
    <row r="68" spans="1:50" x14ac:dyDescent="0.25">
      <c r="A68" s="9">
        <v>21997</v>
      </c>
      <c r="B68" s="10" t="s">
        <v>8</v>
      </c>
      <c r="C68" s="10" t="s">
        <v>171</v>
      </c>
      <c r="D68" s="10" t="s">
        <v>1080</v>
      </c>
      <c r="E68" s="10" t="s">
        <v>1081</v>
      </c>
      <c r="F68" s="10">
        <v>33.422955000000002</v>
      </c>
      <c r="G68" s="10">
        <v>43.271284000000001</v>
      </c>
      <c r="H68" s="10" t="s">
        <v>81</v>
      </c>
      <c r="I68" s="10" t="s">
        <v>173</v>
      </c>
      <c r="J68" s="10" t="s">
        <v>1082</v>
      </c>
      <c r="K68" s="11">
        <v>92</v>
      </c>
      <c r="L68" s="11">
        <v>552</v>
      </c>
      <c r="M68" s="11">
        <v>92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92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>
        <v>92</v>
      </c>
      <c r="AR68" s="11"/>
      <c r="AS68" s="11"/>
      <c r="AT68" s="11"/>
      <c r="AU68" s="11"/>
      <c r="AV68" s="20" t="str">
        <f>HYPERLINK("http://www.openstreetmap.org/?mlat=33.423&amp;mlon=43.2713&amp;zoom=12#map=12/33.423/43.2713","Maplink1")</f>
        <v>Maplink1</v>
      </c>
      <c r="AW68" s="20" t="str">
        <f>HYPERLINK("https://www.google.iq/maps/search/+33.423,43.2713/@33.423,43.2713,14z?hl=en","Maplink2")</f>
        <v>Maplink2</v>
      </c>
      <c r="AX68" s="20" t="str">
        <f>HYPERLINK("http://www.bing.com/maps/?lvl=14&amp;sty=h&amp;cp=33.423~43.2713&amp;sp=point.33.423_43.2713_Hay Al Akrad","Maplink3")</f>
        <v>Maplink3</v>
      </c>
    </row>
    <row r="69" spans="1:50" x14ac:dyDescent="0.25">
      <c r="A69" s="9">
        <v>210</v>
      </c>
      <c r="B69" s="10" t="s">
        <v>8</v>
      </c>
      <c r="C69" s="10" t="s">
        <v>171</v>
      </c>
      <c r="D69" s="10" t="s">
        <v>1120</v>
      </c>
      <c r="E69" s="10" t="s">
        <v>1121</v>
      </c>
      <c r="F69" s="10">
        <v>33.417959000000003</v>
      </c>
      <c r="G69" s="10">
        <v>43.278758000000003</v>
      </c>
      <c r="H69" s="10" t="s">
        <v>81</v>
      </c>
      <c r="I69" s="10" t="s">
        <v>173</v>
      </c>
      <c r="J69" s="10" t="s">
        <v>1122</v>
      </c>
      <c r="K69" s="11">
        <v>368</v>
      </c>
      <c r="L69" s="11">
        <v>2208</v>
      </c>
      <c r="M69" s="11">
        <v>132</v>
      </c>
      <c r="N69" s="11"/>
      <c r="O69" s="11"/>
      <c r="P69" s="11"/>
      <c r="Q69" s="11"/>
      <c r="R69" s="11"/>
      <c r="S69" s="11">
        <v>236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368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>
        <v>368</v>
      </c>
      <c r="AT69" s="11"/>
      <c r="AU69" s="11"/>
      <c r="AV69" s="20" t="str">
        <f>HYPERLINK("http://www.openstreetmap.org/?mlat=33.418&amp;mlon=43.2788&amp;zoom=12#map=12/33.418/43.2788","Maplink1")</f>
        <v>Maplink1</v>
      </c>
      <c r="AW69" s="20" t="str">
        <f>HYPERLINK("https://www.google.iq/maps/search/+33.418,43.2788/@33.418,43.2788,14z?hl=en","Maplink2")</f>
        <v>Maplink2</v>
      </c>
      <c r="AX69" s="20" t="str">
        <f>HYPERLINK("http://www.bing.com/maps/?lvl=14&amp;sty=h&amp;cp=33.418~43.2788&amp;sp=point.33.418_43.2788","Maplink3")</f>
        <v>Maplink3</v>
      </c>
    </row>
    <row r="70" spans="1:50" x14ac:dyDescent="0.25">
      <c r="A70" s="9">
        <v>23602</v>
      </c>
      <c r="B70" s="10" t="s">
        <v>8</v>
      </c>
      <c r="C70" s="10" t="s">
        <v>171</v>
      </c>
      <c r="D70" s="10" t="s">
        <v>1140</v>
      </c>
      <c r="E70" s="10" t="s">
        <v>1141</v>
      </c>
      <c r="F70" s="10">
        <v>33.418756999999999</v>
      </c>
      <c r="G70" s="10">
        <v>43.308495999999998</v>
      </c>
      <c r="H70" s="10" t="s">
        <v>81</v>
      </c>
      <c r="I70" s="10" t="s">
        <v>173</v>
      </c>
      <c r="J70" s="10" t="s">
        <v>1142</v>
      </c>
      <c r="K70" s="11">
        <v>458</v>
      </c>
      <c r="L70" s="11">
        <v>2748</v>
      </c>
      <c r="M70" s="11">
        <v>458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>
        <v>458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>
        <v>458</v>
      </c>
      <c r="AU70" s="11"/>
      <c r="AV70" s="20" t="str">
        <f>HYPERLINK("http://www.openstreetmap.org/?mlat=33.4188&amp;mlon=43.3085&amp;zoom=12#map=12/33.4188/43.3085","Maplink1")</f>
        <v>Maplink1</v>
      </c>
      <c r="AW70" s="20" t="str">
        <f>HYPERLINK("https://www.google.iq/maps/search/+33.4188,43.3085/@33.4188,43.3085,14z?hl=en","Maplink2")</f>
        <v>Maplink2</v>
      </c>
      <c r="AX70" s="20" t="str">
        <f>HYPERLINK("http://www.bing.com/maps/?lvl=14&amp;sty=h&amp;cp=33.4188~43.3085&amp;sp=point.33.4188_43.3085_Hay Al-Eskan","Maplink3")</f>
        <v>Maplink3</v>
      </c>
    </row>
    <row r="71" spans="1:50" x14ac:dyDescent="0.25">
      <c r="A71" s="9">
        <v>23023</v>
      </c>
      <c r="B71" s="10" t="s">
        <v>8</v>
      </c>
      <c r="C71" s="10" t="s">
        <v>171</v>
      </c>
      <c r="D71" s="10" t="s">
        <v>1143</v>
      </c>
      <c r="E71" s="10" t="s">
        <v>1144</v>
      </c>
      <c r="F71" s="10">
        <v>33.424380999999997</v>
      </c>
      <c r="G71" s="10">
        <v>43.322237000000001</v>
      </c>
      <c r="H71" s="10" t="s">
        <v>81</v>
      </c>
      <c r="I71" s="10" t="s">
        <v>173</v>
      </c>
      <c r="J71" s="10" t="s">
        <v>1145</v>
      </c>
      <c r="K71" s="11">
        <v>321</v>
      </c>
      <c r="L71" s="11">
        <v>1926</v>
      </c>
      <c r="M71" s="11"/>
      <c r="N71" s="11"/>
      <c r="O71" s="11"/>
      <c r="P71" s="11"/>
      <c r="Q71" s="11"/>
      <c r="R71" s="11"/>
      <c r="S71" s="11">
        <v>321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v>321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>
        <v>321</v>
      </c>
      <c r="AU71" s="11"/>
      <c r="AV71" s="20" t="str">
        <f>HYPERLINK("http://www.openstreetmap.org/?mlat=33.4244&amp;mlon=43.3222&amp;zoom=12#map=12/33.4244/43.3222","Maplink1")</f>
        <v>Maplink1</v>
      </c>
      <c r="AW71" s="20" t="str">
        <f>HYPERLINK("https://www.google.iq/maps/search/+33.4244,43.3222/@33.4244,43.3222,14z?hl=en","Maplink2")</f>
        <v>Maplink2</v>
      </c>
      <c r="AX71" s="20" t="str">
        <f>HYPERLINK("http://www.bing.com/maps/?lvl=14&amp;sty=h&amp;cp=33.4244~43.3222&amp;sp=point.33.4244_43.3222_Hay Al-Malab","Maplink3")</f>
        <v>Maplink3</v>
      </c>
    </row>
    <row r="72" spans="1:50" x14ac:dyDescent="0.25">
      <c r="A72" s="9">
        <v>23853</v>
      </c>
      <c r="B72" s="10" t="s">
        <v>8</v>
      </c>
      <c r="C72" s="10" t="s">
        <v>171</v>
      </c>
      <c r="D72" s="10" t="s">
        <v>190</v>
      </c>
      <c r="E72" s="10" t="s">
        <v>191</v>
      </c>
      <c r="F72" s="10">
        <v>33.377589</v>
      </c>
      <c r="G72" s="10">
        <v>43.570919000000004</v>
      </c>
      <c r="H72" s="10" t="s">
        <v>81</v>
      </c>
      <c r="I72" s="10" t="s">
        <v>173</v>
      </c>
      <c r="J72" s="10" t="s">
        <v>192</v>
      </c>
      <c r="K72" s="11">
        <v>86</v>
      </c>
      <c r="L72" s="11">
        <v>516</v>
      </c>
      <c r="M72" s="11"/>
      <c r="N72" s="11"/>
      <c r="O72" s="11">
        <v>86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>
        <v>86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>
        <v>86</v>
      </c>
      <c r="AU72" s="11"/>
      <c r="AV72" s="20" t="str">
        <f>HYPERLINK("http://www.openstreetmap.org/?mlat=33.3776&amp;mlon=43.5709&amp;zoom=12#map=12/33.3776/43.5709","Maplink1")</f>
        <v>Maplink1</v>
      </c>
      <c r="AW72" s="20" t="str">
        <f>HYPERLINK("https://www.google.iq/maps/search/+33.3776,43.5709/@33.3776,43.5709,14z?hl=en","Maplink2")</f>
        <v>Maplink2</v>
      </c>
      <c r="AX72" s="20" t="str">
        <f>HYPERLINK("http://www.bing.com/maps/?lvl=14&amp;sty=h&amp;cp=33.3776~43.5709&amp;sp=point.33.3776_43.5709_Hay Al-Madani","Maplink3")</f>
        <v>Maplink3</v>
      </c>
    </row>
    <row r="73" spans="1:50" x14ac:dyDescent="0.25">
      <c r="A73" s="9">
        <v>113</v>
      </c>
      <c r="B73" s="10" t="s">
        <v>8</v>
      </c>
      <c r="C73" s="10" t="s">
        <v>171</v>
      </c>
      <c r="D73" s="10" t="s">
        <v>902</v>
      </c>
      <c r="E73" s="10" t="s">
        <v>193</v>
      </c>
      <c r="F73" s="10">
        <v>33.409582</v>
      </c>
      <c r="G73" s="10">
        <v>43.445441000000002</v>
      </c>
      <c r="H73" s="10" t="s">
        <v>81</v>
      </c>
      <c r="I73" s="10" t="s">
        <v>173</v>
      </c>
      <c r="J73" s="10" t="s">
        <v>194</v>
      </c>
      <c r="K73" s="11">
        <v>645</v>
      </c>
      <c r="L73" s="11">
        <v>3870</v>
      </c>
      <c r="M73" s="11">
        <v>609</v>
      </c>
      <c r="N73" s="11"/>
      <c r="O73" s="11"/>
      <c r="P73" s="11"/>
      <c r="Q73" s="11"/>
      <c r="R73" s="11"/>
      <c r="S73" s="11">
        <v>36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645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>
        <v>645</v>
      </c>
      <c r="AU73" s="11"/>
      <c r="AV73" s="20" t="str">
        <f>HYPERLINK("http://www.openstreetmap.org/?mlat=33.4096&amp;mlon=43.4454&amp;zoom=12#map=12/33.4096/43.4454","Maplink1")</f>
        <v>Maplink1</v>
      </c>
      <c r="AW73" s="20" t="str">
        <f>HYPERLINK("https://www.google.iq/maps/search/+33.4096,43.4454/@33.4096,43.4454,14z?hl=en","Maplink2")</f>
        <v>Maplink2</v>
      </c>
      <c r="AX73" s="20" t="str">
        <f>HYPERLINK("http://www.bing.com/maps/?lvl=14&amp;sty=h&amp;cp=33.4096~43.4454&amp;sp=point.33.4096_43.4454_Housiyba Al-sharqiyah","Maplink3")</f>
        <v>Maplink3</v>
      </c>
    </row>
    <row r="74" spans="1:50" x14ac:dyDescent="0.25">
      <c r="A74" s="9">
        <v>29485</v>
      </c>
      <c r="B74" s="10" t="s">
        <v>8</v>
      </c>
      <c r="C74" s="10" t="s">
        <v>171</v>
      </c>
      <c r="D74" s="10" t="s">
        <v>1146</v>
      </c>
      <c r="E74" s="10" t="s">
        <v>195</v>
      </c>
      <c r="F74" s="10">
        <v>33.448698999999998</v>
      </c>
      <c r="G74" s="10">
        <v>43.403855999999998</v>
      </c>
      <c r="H74" s="10" t="s">
        <v>81</v>
      </c>
      <c r="I74" s="10" t="s">
        <v>173</v>
      </c>
      <c r="J74" s="10"/>
      <c r="K74" s="11">
        <v>1245</v>
      </c>
      <c r="L74" s="11">
        <v>7470</v>
      </c>
      <c r="M74" s="11">
        <v>1245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v>1245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>
        <v>1245</v>
      </c>
      <c r="AT74" s="11"/>
      <c r="AU74" s="11"/>
      <c r="AV74" s="20" t="str">
        <f>HYPERLINK("http://www.openstreetmap.org/?mlat=33.4487&amp;mlon=43.4039&amp;zoom=12#map=12/33.4487/43.4039","Maplink1")</f>
        <v>Maplink1</v>
      </c>
      <c r="AW74" s="20" t="str">
        <f>HYPERLINK("https://www.google.iq/maps/search/+33.4487,43.4039/@33.4487,43.4039,14z?hl=en","Maplink2")</f>
        <v>Maplink2</v>
      </c>
      <c r="AX74" s="20" t="str">
        <f>HYPERLINK("http://www.bing.com/maps/?lvl=14&amp;sty=h&amp;cp=33.4487~43.4039&amp;sp=point.33.4487_43.4039","Maplink3")</f>
        <v>Maplink3</v>
      </c>
    </row>
    <row r="75" spans="1:50" x14ac:dyDescent="0.25">
      <c r="A75" s="9">
        <v>308</v>
      </c>
      <c r="B75" s="10" t="s">
        <v>8</v>
      </c>
      <c r="C75" s="10" t="s">
        <v>171</v>
      </c>
      <c r="D75" s="10" t="s">
        <v>1083</v>
      </c>
      <c r="E75" s="10" t="s">
        <v>1084</v>
      </c>
      <c r="F75" s="10">
        <v>33.419823999999998</v>
      </c>
      <c r="G75" s="10">
        <v>43.234814999999998</v>
      </c>
      <c r="H75" s="10" t="s">
        <v>81</v>
      </c>
      <c r="I75" s="10" t="s">
        <v>173</v>
      </c>
      <c r="J75" s="10" t="s">
        <v>1085</v>
      </c>
      <c r="K75" s="11">
        <v>186</v>
      </c>
      <c r="L75" s="11">
        <v>1116</v>
      </c>
      <c r="M75" s="11">
        <v>107</v>
      </c>
      <c r="N75" s="11"/>
      <c r="O75" s="11"/>
      <c r="P75" s="11"/>
      <c r="Q75" s="11"/>
      <c r="R75" s="11"/>
      <c r="S75" s="11">
        <v>79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>
        <v>186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>
        <v>107</v>
      </c>
      <c r="AQ75" s="11"/>
      <c r="AR75" s="11"/>
      <c r="AS75" s="11"/>
      <c r="AT75" s="11">
        <v>79</v>
      </c>
      <c r="AU75" s="11"/>
      <c r="AV75" s="20" t="str">
        <f>HYPERLINK("http://www.openstreetmap.org/?mlat=33.4198&amp;mlon=43.2348&amp;zoom=12#map=12/33.4198/43.2348","Maplink1")</f>
        <v>Maplink1</v>
      </c>
      <c r="AW75" s="20" t="str">
        <f>HYPERLINK("https://www.google.iq/maps/search/+33.4198,43.2348/@33.4198,43.2348,14z?hl=en","Maplink2")</f>
        <v>Maplink2</v>
      </c>
      <c r="AX75" s="20" t="str">
        <f>HYPERLINK("http://www.bing.com/maps/?lvl=14&amp;sty=h&amp;cp=33.4198~43.2348&amp;sp=point.33.4198_43.2348_5 Kilo","Maplink3")</f>
        <v>Maplink3</v>
      </c>
    </row>
    <row r="76" spans="1:50" x14ac:dyDescent="0.25">
      <c r="A76" s="9">
        <v>182</v>
      </c>
      <c r="B76" s="10" t="s">
        <v>8</v>
      </c>
      <c r="C76" s="10" t="s">
        <v>171</v>
      </c>
      <c r="D76" s="10" t="s">
        <v>1220</v>
      </c>
      <c r="E76" s="10" t="s">
        <v>1093</v>
      </c>
      <c r="F76" s="10">
        <v>33.410055999999997</v>
      </c>
      <c r="G76" s="10">
        <v>43.284066000000003</v>
      </c>
      <c r="H76" s="10" t="s">
        <v>81</v>
      </c>
      <c r="I76" s="10" t="s">
        <v>173</v>
      </c>
      <c r="J76" s="10" t="s">
        <v>1094</v>
      </c>
      <c r="K76" s="11">
        <v>280</v>
      </c>
      <c r="L76" s="11">
        <v>1680</v>
      </c>
      <c r="M76" s="11">
        <v>113</v>
      </c>
      <c r="N76" s="11"/>
      <c r="O76" s="11">
        <v>167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>
        <v>280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v>280</v>
      </c>
      <c r="AQ76" s="11"/>
      <c r="AR76" s="11"/>
      <c r="AS76" s="11"/>
      <c r="AT76" s="11"/>
      <c r="AU76" s="11"/>
      <c r="AV76" s="20" t="str">
        <f>HYPERLINK("http://www.openstreetmap.org/?mlat=33.4101&amp;mlon=43.2841&amp;zoom=12#map=12/33.4101/43.2841","Maplink1")</f>
        <v>Maplink1</v>
      </c>
      <c r="AW76" s="20" t="str">
        <f>HYPERLINK("https://www.google.iq/maps/search/+33.4101,43.2841/@33.4101,43.2841,14z?hl=en","Maplink2")</f>
        <v>Maplink2</v>
      </c>
      <c r="AX76" s="20" t="str">
        <f>HYPERLINK("http://www.bing.com/maps/?lvl=14&amp;sty=h&amp;cp=33.4101~43.2841&amp;sp=point.33.4101_43.2841_Qadisiya-1","Maplink3")</f>
        <v>Maplink3</v>
      </c>
    </row>
    <row r="77" spans="1:50" x14ac:dyDescent="0.25">
      <c r="A77" s="9">
        <v>29476</v>
      </c>
      <c r="B77" s="10" t="s">
        <v>8</v>
      </c>
      <c r="C77" s="10" t="s">
        <v>171</v>
      </c>
      <c r="D77" s="10" t="s">
        <v>196</v>
      </c>
      <c r="E77" s="10" t="s">
        <v>197</v>
      </c>
      <c r="F77" s="10">
        <v>33.480502000000001</v>
      </c>
      <c r="G77" s="10">
        <v>43.165412000000003</v>
      </c>
      <c r="H77" s="10" t="s">
        <v>81</v>
      </c>
      <c r="I77" s="10" t="s">
        <v>173</v>
      </c>
      <c r="J77" s="10"/>
      <c r="K77" s="11">
        <v>3114</v>
      </c>
      <c r="L77" s="11">
        <v>18684</v>
      </c>
      <c r="M77" s="11">
        <v>3114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3114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>
        <v>3114</v>
      </c>
      <c r="AV77" s="20" t="str">
        <f>HYPERLINK("http://www.openstreetmap.org/?mlat=33.4805&amp;mlon=43.1654&amp;zoom=12#map=12/33.4805/43.1654","Maplink1")</f>
        <v>Maplink1</v>
      </c>
      <c r="AW77" s="20" t="str">
        <f>HYPERLINK("https://www.google.iq/maps/search/+33.4805,43.1654/@33.4805,43.1654,14z?hl=en","Maplink2")</f>
        <v>Maplink2</v>
      </c>
      <c r="AX77" s="20" t="str">
        <f>HYPERLINK("http://www.bing.com/maps/?lvl=14&amp;sty=h&amp;cp=33.4805~43.1654&amp;sp=point.33.4805_43.1654_Al Angaa","Maplink3")</f>
        <v>Maplink3</v>
      </c>
    </row>
    <row r="78" spans="1:50" x14ac:dyDescent="0.25">
      <c r="A78" s="9">
        <v>184</v>
      </c>
      <c r="B78" s="10" t="s">
        <v>8</v>
      </c>
      <c r="C78" s="10" t="s">
        <v>171</v>
      </c>
      <c r="D78" s="10" t="s">
        <v>198</v>
      </c>
      <c r="E78" s="10" t="s">
        <v>199</v>
      </c>
      <c r="F78" s="10">
        <v>33.429524999999998</v>
      </c>
      <c r="G78" s="10">
        <v>43.277873</v>
      </c>
      <c r="H78" s="10" t="s">
        <v>81</v>
      </c>
      <c r="I78" s="10" t="s">
        <v>173</v>
      </c>
      <c r="J78" s="10" t="s">
        <v>200</v>
      </c>
      <c r="K78" s="11">
        <v>440</v>
      </c>
      <c r="L78" s="11">
        <v>2640</v>
      </c>
      <c r="M78" s="11">
        <v>440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>
        <v>440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440</v>
      </c>
      <c r="AQ78" s="11"/>
      <c r="AR78" s="11"/>
      <c r="AS78" s="11"/>
      <c r="AT78" s="11"/>
      <c r="AU78" s="11"/>
      <c r="AV78" s="20" t="str">
        <f>HYPERLINK("http://www.openstreetmap.org/?mlat=33.4298&amp;mlon=43.2772&amp;zoom=12#map=12/33.4298/43.2772","Maplink1")</f>
        <v>Maplink1</v>
      </c>
      <c r="AW78" s="20" t="str">
        <f>HYPERLINK("https://www.google.iq/maps/search/+33.4298,43.2772/@33.4298,43.2772,14z?hl=en","Maplink2")</f>
        <v>Maplink2</v>
      </c>
      <c r="AX78" s="20" t="str">
        <f>HYPERLINK("http://www.bing.com/maps/?lvl=14&amp;sty=h&amp;cp=33.4298~43.2772&amp;sp=point.33.4298_43.2772_Warar","Maplink3")</f>
        <v>Maplink3</v>
      </c>
    </row>
    <row r="79" spans="1:50" x14ac:dyDescent="0.25">
      <c r="A79" s="9">
        <v>29475</v>
      </c>
      <c r="B79" s="10" t="s">
        <v>8</v>
      </c>
      <c r="C79" s="10" t="s">
        <v>171</v>
      </c>
      <c r="D79" s="10" t="s">
        <v>201</v>
      </c>
      <c r="E79" s="10" t="s">
        <v>202</v>
      </c>
      <c r="F79" s="10">
        <v>33.468018000000001</v>
      </c>
      <c r="G79" s="10">
        <v>43.175849999999997</v>
      </c>
      <c r="H79" s="10" t="s">
        <v>81</v>
      </c>
      <c r="I79" s="10" t="s">
        <v>173</v>
      </c>
      <c r="J79" s="10"/>
      <c r="K79" s="11">
        <v>4620</v>
      </c>
      <c r="L79" s="11">
        <v>27720</v>
      </c>
      <c r="M79" s="11">
        <v>4370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>
        <v>250</v>
      </c>
      <c r="AC79" s="11"/>
      <c r="AD79" s="11"/>
      <c r="AE79" s="11"/>
      <c r="AF79" s="11">
        <v>4620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>
        <v>250</v>
      </c>
      <c r="AU79" s="11">
        <v>4370</v>
      </c>
      <c r="AV79" s="20" t="str">
        <f>HYPERLINK("http://www.openstreetmap.org/?mlat=33.468&amp;mlon=43.1758&amp;zoom=12#map=12/33.468/43.1758","Maplink1")</f>
        <v>Maplink1</v>
      </c>
      <c r="AW79" s="20" t="str">
        <f>HYPERLINK("https://www.google.iq/maps/search/+33.468,43.1758/@33.468,43.1758,14z?hl=en","Maplink2")</f>
        <v>Maplink2</v>
      </c>
      <c r="AX79" s="20" t="str">
        <f>HYPERLINK("http://www.bing.com/maps/?lvl=14&amp;sty=h&amp;cp=33.468~43.1758&amp;sp=point.33.468_43.1758_Al Angaa","Maplink3")</f>
        <v>Maplink3</v>
      </c>
    </row>
    <row r="80" spans="1:50" x14ac:dyDescent="0.25">
      <c r="A80" s="9">
        <v>29494</v>
      </c>
      <c r="B80" s="10" t="s">
        <v>10</v>
      </c>
      <c r="C80" s="10" t="s">
        <v>203</v>
      </c>
      <c r="D80" s="10" t="s">
        <v>204</v>
      </c>
      <c r="E80" s="10" t="s">
        <v>205</v>
      </c>
      <c r="F80" s="10">
        <v>33.404066999999998</v>
      </c>
      <c r="G80" s="10">
        <v>44.089655999999998</v>
      </c>
      <c r="H80" s="10" t="s">
        <v>206</v>
      </c>
      <c r="I80" s="10" t="s">
        <v>207</v>
      </c>
      <c r="J80" s="10"/>
      <c r="K80" s="11">
        <v>28</v>
      </c>
      <c r="L80" s="11">
        <v>168</v>
      </c>
      <c r="M80" s="11"/>
      <c r="N80" s="11"/>
      <c r="O80" s="11">
        <v>28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>
        <v>28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>
        <v>28</v>
      </c>
      <c r="AS80" s="11"/>
      <c r="AT80" s="11"/>
      <c r="AU80" s="11"/>
      <c r="AV80" s="20" t="str">
        <f>HYPERLINK("http://www.openstreetmap.org/?mlat=33.4041&amp;mlon=44.0897&amp;zoom=12#map=12/33.4041/44.0897","Maplink1")</f>
        <v>Maplink1</v>
      </c>
      <c r="AW80" s="20" t="str">
        <f>HYPERLINK("https://www.google.iq/maps/search/+33.4041,44.0897/@33.4041,44.0897,14z?hl=en","Maplink2")</f>
        <v>Maplink2</v>
      </c>
      <c r="AX80" s="20" t="str">
        <f>HYPERLINK("http://www.bing.com/maps/?lvl=14&amp;sty=h&amp;cp=33.4041~44.0897&amp;sp=point.33.4041_44.0897","Maplink3")</f>
        <v>Maplink3</v>
      </c>
    </row>
    <row r="81" spans="1:50" x14ac:dyDescent="0.25">
      <c r="A81" s="9">
        <v>29497</v>
      </c>
      <c r="B81" s="10" t="s">
        <v>10</v>
      </c>
      <c r="C81" s="10" t="s">
        <v>203</v>
      </c>
      <c r="D81" s="10" t="s">
        <v>925</v>
      </c>
      <c r="E81" s="10" t="s">
        <v>208</v>
      </c>
      <c r="F81" s="10">
        <v>33.423977000000001</v>
      </c>
      <c r="G81" s="10">
        <v>44.034739000000002</v>
      </c>
      <c r="H81" s="10" t="s">
        <v>206</v>
      </c>
      <c r="I81" s="10" t="s">
        <v>207</v>
      </c>
      <c r="J81" s="10"/>
      <c r="K81" s="11">
        <v>23</v>
      </c>
      <c r="L81" s="11">
        <v>138</v>
      </c>
      <c r="M81" s="11"/>
      <c r="N81" s="11"/>
      <c r="O81" s="11">
        <v>23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>
        <v>23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>
        <v>23</v>
      </c>
      <c r="AT81" s="11"/>
      <c r="AU81" s="11"/>
      <c r="AV81" s="20" t="str">
        <f>HYPERLINK("http://www.openstreetmap.org/?mlat=33.424&amp;mlon=44.0347&amp;zoom=12#map=12/33.424/44.0347","Maplink1")</f>
        <v>Maplink1</v>
      </c>
      <c r="AW81" s="20" t="str">
        <f>HYPERLINK("https://www.google.iq/maps/search/+33.424,44.0347/@33.424,44.0347,14z?hl=en","Maplink2")</f>
        <v>Maplink2</v>
      </c>
      <c r="AX81" s="20" t="str">
        <f>HYPERLINK("http://www.bing.com/maps/?lvl=14&amp;sty=h&amp;cp=33.424~44.0347&amp;sp=point.33.424_44.0347","Maplink3")</f>
        <v>Maplink3</v>
      </c>
    </row>
    <row r="82" spans="1:50" x14ac:dyDescent="0.25">
      <c r="A82" s="9">
        <v>29531</v>
      </c>
      <c r="B82" s="10" t="s">
        <v>10</v>
      </c>
      <c r="C82" s="10" t="s">
        <v>203</v>
      </c>
      <c r="D82" s="10" t="s">
        <v>209</v>
      </c>
      <c r="E82" s="10" t="s">
        <v>1147</v>
      </c>
      <c r="F82" s="10">
        <v>33.248657000000001</v>
      </c>
      <c r="G82" s="10">
        <v>44.026074000000001</v>
      </c>
      <c r="H82" s="10" t="s">
        <v>206</v>
      </c>
      <c r="I82" s="10" t="s">
        <v>207</v>
      </c>
      <c r="J82" s="10"/>
      <c r="K82" s="11">
        <v>88</v>
      </c>
      <c r="L82" s="11">
        <v>528</v>
      </c>
      <c r="M82" s="11"/>
      <c r="N82" s="11"/>
      <c r="O82" s="11">
        <v>88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>
        <v>88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>
        <v>18</v>
      </c>
      <c r="AS82" s="11">
        <v>70</v>
      </c>
      <c r="AT82" s="11"/>
      <c r="AU82" s="11"/>
      <c r="AV82" s="20" t="str">
        <f>HYPERLINK("http://www.openstreetmap.org/?mlat=33.2487&amp;mlon=44.0261&amp;zoom=12#map=12/33.2487/44.0261","Maplink1")</f>
        <v>Maplink1</v>
      </c>
      <c r="AW82" s="20" t="str">
        <f>HYPERLINK("https://www.google.iq/maps/search/+33.2487,44.0261/@33.2487,44.0261,14z?hl=en","Maplink2")</f>
        <v>Maplink2</v>
      </c>
      <c r="AX82" s="20" t="str">
        <f>HYPERLINK("http://www.bing.com/maps/?lvl=14&amp;sty=h&amp;cp=33.2487~44.0261&amp;sp=point.33.2487_44.0261","Maplink3")</f>
        <v>Maplink3</v>
      </c>
    </row>
    <row r="83" spans="1:50" x14ac:dyDescent="0.25">
      <c r="A83" s="9">
        <v>29498</v>
      </c>
      <c r="B83" s="10" t="s">
        <v>10</v>
      </c>
      <c r="C83" s="10" t="s">
        <v>203</v>
      </c>
      <c r="D83" s="10" t="s">
        <v>210</v>
      </c>
      <c r="E83" s="10" t="s">
        <v>211</v>
      </c>
      <c r="F83" s="10">
        <v>33.405487999999998</v>
      </c>
      <c r="G83" s="10">
        <v>44.134011000000001</v>
      </c>
      <c r="H83" s="10" t="s">
        <v>206</v>
      </c>
      <c r="I83" s="10" t="s">
        <v>207</v>
      </c>
      <c r="J83" s="10"/>
      <c r="K83" s="11">
        <v>25</v>
      </c>
      <c r="L83" s="11">
        <v>150</v>
      </c>
      <c r="M83" s="11"/>
      <c r="N83" s="11"/>
      <c r="O83" s="11">
        <v>25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>
        <v>25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>
        <v>25</v>
      </c>
      <c r="AT83" s="11"/>
      <c r="AU83" s="11"/>
      <c r="AV83" s="20" t="str">
        <f>HYPERLINK("http://www.openstreetmap.org/?mlat=33.4055&amp;mlon=44.134&amp;zoom=12#map=12/33.4055/44.134","Maplink1")</f>
        <v>Maplink1</v>
      </c>
      <c r="AW83" s="20" t="str">
        <f>HYPERLINK("https://www.google.iq/maps/search/+33.4055,44.134/@33.4055,44.134,14z?hl=en","Maplink2")</f>
        <v>Maplink2</v>
      </c>
      <c r="AX83" s="20" t="str">
        <f>HYPERLINK("http://www.bing.com/maps/?lvl=14&amp;sty=h&amp;cp=33.4055~44.134&amp;sp=point.33.4055_44.134","Maplink3")</f>
        <v>Maplink3</v>
      </c>
    </row>
    <row r="84" spans="1:50" x14ac:dyDescent="0.25">
      <c r="A84" s="9">
        <v>29495</v>
      </c>
      <c r="B84" s="10" t="s">
        <v>10</v>
      </c>
      <c r="C84" s="10" t="s">
        <v>203</v>
      </c>
      <c r="D84" s="10" t="s">
        <v>212</v>
      </c>
      <c r="E84" s="10" t="s">
        <v>213</v>
      </c>
      <c r="F84" s="10">
        <v>33.410105999999999</v>
      </c>
      <c r="G84" s="10">
        <v>44.067875999999998</v>
      </c>
      <c r="H84" s="10" t="s">
        <v>206</v>
      </c>
      <c r="I84" s="10" t="s">
        <v>207</v>
      </c>
      <c r="J84" s="10"/>
      <c r="K84" s="11">
        <v>31</v>
      </c>
      <c r="L84" s="11">
        <v>186</v>
      </c>
      <c r="M84" s="11"/>
      <c r="N84" s="11"/>
      <c r="O84" s="11">
        <v>31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>
        <v>31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>
        <v>31</v>
      </c>
      <c r="AS84" s="11"/>
      <c r="AT84" s="11"/>
      <c r="AU84" s="11"/>
      <c r="AV84" s="20" t="str">
        <f>HYPERLINK("http://www.openstreetmap.org/?mlat=33.4101&amp;mlon=44.0679&amp;zoom=12#map=12/33.4101/44.0679","Maplink1")</f>
        <v>Maplink1</v>
      </c>
      <c r="AW84" s="20" t="str">
        <f>HYPERLINK("https://www.google.iq/maps/search/+33.4101,44.0679/@33.4101,44.0679,14z?hl=en","Maplink2")</f>
        <v>Maplink2</v>
      </c>
      <c r="AX84" s="20" t="str">
        <f>HYPERLINK("http://www.bing.com/maps/?lvl=14&amp;sty=h&amp;cp=33.4101~44.0679&amp;sp=point.33.4101_44.0679","Maplink3")</f>
        <v>Maplink3</v>
      </c>
    </row>
    <row r="85" spans="1:50" x14ac:dyDescent="0.25">
      <c r="A85" s="9">
        <v>29529</v>
      </c>
      <c r="B85" s="10" t="s">
        <v>10</v>
      </c>
      <c r="C85" s="10" t="s">
        <v>203</v>
      </c>
      <c r="D85" s="10" t="s">
        <v>214</v>
      </c>
      <c r="E85" s="10" t="s">
        <v>215</v>
      </c>
      <c r="F85" s="10">
        <v>33.270192999999999</v>
      </c>
      <c r="G85" s="10">
        <v>44.048549999999999</v>
      </c>
      <c r="H85" s="10" t="s">
        <v>206</v>
      </c>
      <c r="I85" s="10" t="s">
        <v>207</v>
      </c>
      <c r="J85" s="10"/>
      <c r="K85" s="11">
        <v>309</v>
      </c>
      <c r="L85" s="11">
        <v>1854</v>
      </c>
      <c r="M85" s="11"/>
      <c r="N85" s="11"/>
      <c r="O85" s="11">
        <v>309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>
        <v>309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>
        <v>309</v>
      </c>
      <c r="AT85" s="11"/>
      <c r="AU85" s="11"/>
      <c r="AV85" s="20" t="str">
        <f>HYPERLINK("http://www.openstreetmap.org/?mlat=33.2702&amp;mlon=44.0485&amp;zoom=12#map=12/33.2702/44.0485","Maplink1")</f>
        <v>Maplink1</v>
      </c>
      <c r="AW85" s="20" t="str">
        <f>HYPERLINK("https://www.google.iq/maps/search/+33.2702,44.0485/@33.2702,44.0485,14z?hl=en","Maplink2")</f>
        <v>Maplink2</v>
      </c>
      <c r="AX85" s="20" t="str">
        <f>HYPERLINK("http://www.bing.com/maps/?lvl=14&amp;sty=h&amp;cp=33.2702~44.0485&amp;sp=point.33.2702_44.0485","Maplink3")</f>
        <v>Maplink3</v>
      </c>
    </row>
    <row r="86" spans="1:50" x14ac:dyDescent="0.25">
      <c r="A86" s="9">
        <v>29532</v>
      </c>
      <c r="B86" s="10" t="s">
        <v>10</v>
      </c>
      <c r="C86" s="10" t="s">
        <v>203</v>
      </c>
      <c r="D86" s="10" t="s">
        <v>216</v>
      </c>
      <c r="E86" s="10" t="s">
        <v>1148</v>
      </c>
      <c r="F86" s="10">
        <v>33.248659000000004</v>
      </c>
      <c r="G86" s="10">
        <v>44.026085000000002</v>
      </c>
      <c r="H86" s="10" t="s">
        <v>206</v>
      </c>
      <c r="I86" s="10" t="s">
        <v>207</v>
      </c>
      <c r="J86" s="10"/>
      <c r="K86" s="11">
        <v>103</v>
      </c>
      <c r="L86" s="11">
        <v>618</v>
      </c>
      <c r="M86" s="11"/>
      <c r="N86" s="11"/>
      <c r="O86" s="11">
        <v>103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>
        <v>103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>
        <v>103</v>
      </c>
      <c r="AS86" s="11"/>
      <c r="AT86" s="11"/>
      <c r="AU86" s="11"/>
      <c r="AV86" s="20" t="str">
        <f>HYPERLINK("http://www.openstreetmap.org/?mlat=33.2487&amp;mlon=44.0261&amp;zoom=12#map=12/33.2487/44.0261","Maplink1")</f>
        <v>Maplink1</v>
      </c>
      <c r="AW86" s="20" t="str">
        <f>HYPERLINK("https://www.google.iq/maps/search/+33.2487,44.0261/@33.2487,44.0261,14z?hl=en","Maplink2")</f>
        <v>Maplink2</v>
      </c>
      <c r="AX86" s="20" t="str">
        <f>HYPERLINK("http://www.bing.com/maps/?lvl=14&amp;sty=h&amp;cp=33.2487~44.0261&amp;sp=point.33.2487_44.0261","Maplink3")</f>
        <v>Maplink3</v>
      </c>
    </row>
    <row r="87" spans="1:50" x14ac:dyDescent="0.25">
      <c r="A87" s="9">
        <v>29533</v>
      </c>
      <c r="B87" s="10" t="s">
        <v>10</v>
      </c>
      <c r="C87" s="10" t="s">
        <v>203</v>
      </c>
      <c r="D87" s="10" t="s">
        <v>217</v>
      </c>
      <c r="E87" s="10" t="s">
        <v>1149</v>
      </c>
      <c r="F87" s="10">
        <v>33.248666999999998</v>
      </c>
      <c r="G87" s="10">
        <v>44.026094000000001</v>
      </c>
      <c r="H87" s="10" t="s">
        <v>206</v>
      </c>
      <c r="I87" s="10" t="s">
        <v>207</v>
      </c>
      <c r="J87" s="10"/>
      <c r="K87" s="11">
        <v>320</v>
      </c>
      <c r="L87" s="11">
        <v>1920</v>
      </c>
      <c r="M87" s="11"/>
      <c r="N87" s="11"/>
      <c r="O87" s="11">
        <v>220</v>
      </c>
      <c r="P87" s="11"/>
      <c r="Q87" s="11"/>
      <c r="R87" s="11"/>
      <c r="S87" s="11">
        <v>100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320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>
        <v>271</v>
      </c>
      <c r="AS87" s="11">
        <v>49</v>
      </c>
      <c r="AT87" s="11"/>
      <c r="AU87" s="11"/>
      <c r="AV87" s="20" t="str">
        <f>HYPERLINK("http://www.openstreetmap.org/?mlat=33.2487&amp;mlon=44.0261&amp;zoom=12#map=12/33.2487/44.0261","Maplink1")</f>
        <v>Maplink1</v>
      </c>
      <c r="AW87" s="20" t="str">
        <f>HYPERLINK("https://www.google.iq/maps/search/+33.2487,44.0261/@33.2487,44.0261,14z?hl=en","Maplink2")</f>
        <v>Maplink2</v>
      </c>
      <c r="AX87" s="20" t="str">
        <f>HYPERLINK("http://www.bing.com/maps/?lvl=14&amp;sty=h&amp;cp=33.2487~44.0261&amp;sp=point.33.2487_44.0261","Maplink3")</f>
        <v>Maplink3</v>
      </c>
    </row>
    <row r="88" spans="1:50" x14ac:dyDescent="0.25">
      <c r="A88" s="9">
        <v>29496</v>
      </c>
      <c r="B88" s="10" t="s">
        <v>10</v>
      </c>
      <c r="C88" s="10" t="s">
        <v>203</v>
      </c>
      <c r="D88" s="10" t="s">
        <v>218</v>
      </c>
      <c r="E88" s="10" t="s">
        <v>219</v>
      </c>
      <c r="F88" s="10">
        <v>33.421241999999999</v>
      </c>
      <c r="G88" s="10">
        <v>44.051721999999998</v>
      </c>
      <c r="H88" s="10" t="s">
        <v>206</v>
      </c>
      <c r="I88" s="10" t="s">
        <v>207</v>
      </c>
      <c r="J88" s="10"/>
      <c r="K88" s="11">
        <v>30</v>
      </c>
      <c r="L88" s="11">
        <v>180</v>
      </c>
      <c r="M88" s="11"/>
      <c r="N88" s="11"/>
      <c r="O88" s="11">
        <v>30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>
        <v>30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>
        <v>30</v>
      </c>
      <c r="AT88" s="11"/>
      <c r="AU88" s="11"/>
      <c r="AV88" s="20" t="str">
        <f>HYPERLINK("http://www.openstreetmap.org/?mlat=33.4212&amp;mlon=44.0517&amp;zoom=12#map=12/33.4212/44.0517","Maplink1")</f>
        <v>Maplink1</v>
      </c>
      <c r="AW88" s="20" t="str">
        <f>HYPERLINK("https://www.google.iq/maps/search/+33.4212,44.0517/@33.4212,44.0517,14z?hl=en","Maplink2")</f>
        <v>Maplink2</v>
      </c>
      <c r="AX88" s="20" t="str">
        <f>HYPERLINK("http://www.bing.com/maps/?lvl=14&amp;sty=h&amp;cp=33.4212~44.0517&amp;sp=point.33.4212_44.0517","Maplink3")</f>
        <v>Maplink3</v>
      </c>
    </row>
    <row r="89" spans="1:50" x14ac:dyDescent="0.25">
      <c r="A89" s="9">
        <v>29499</v>
      </c>
      <c r="B89" s="10" t="s">
        <v>10</v>
      </c>
      <c r="C89" s="10" t="s">
        <v>203</v>
      </c>
      <c r="D89" s="10" t="s">
        <v>220</v>
      </c>
      <c r="E89" s="10" t="s">
        <v>1150</v>
      </c>
      <c r="F89" s="10">
        <v>33.030559799999999</v>
      </c>
      <c r="G89" s="10">
        <v>44.068486999999998</v>
      </c>
      <c r="H89" s="10" t="s">
        <v>206</v>
      </c>
      <c r="I89" s="10" t="s">
        <v>207</v>
      </c>
      <c r="J89" s="10"/>
      <c r="K89" s="11">
        <v>50</v>
      </c>
      <c r="L89" s="11">
        <v>300</v>
      </c>
      <c r="M89" s="11"/>
      <c r="N89" s="11"/>
      <c r="O89" s="11">
        <v>31</v>
      </c>
      <c r="P89" s="11"/>
      <c r="Q89" s="11"/>
      <c r="R89" s="11"/>
      <c r="S89" s="11">
        <v>19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v>50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>
        <v>50</v>
      </c>
      <c r="AS89" s="11"/>
      <c r="AT89" s="11"/>
      <c r="AU89" s="11"/>
      <c r="AV89" s="20" t="str">
        <f>HYPERLINK("http://www.openstreetmap.org/?mlat=33.0306&amp;mlon=44.0685&amp;zoom=12#map=12/33.0306/44.0685","Maplink1")</f>
        <v>Maplink1</v>
      </c>
      <c r="AW89" s="20" t="str">
        <f>HYPERLINK("https://www.google.iq/maps/search/+33.0306,44.0685/@33.0306,44.0685,14z?hl=en","Maplink2")</f>
        <v>Maplink2</v>
      </c>
      <c r="AX89" s="20" t="str">
        <f>HYPERLINK("http://www.bing.com/maps/?lvl=14&amp;sty=h&amp;cp=33.0306~44.0685&amp;sp=point.33.0306_44.0685","Maplink3")</f>
        <v>Maplink3</v>
      </c>
    </row>
    <row r="90" spans="1:50" x14ac:dyDescent="0.25">
      <c r="A90" s="9">
        <v>29530</v>
      </c>
      <c r="B90" s="10" t="s">
        <v>10</v>
      </c>
      <c r="C90" s="10" t="s">
        <v>203</v>
      </c>
      <c r="D90" s="10" t="s">
        <v>221</v>
      </c>
      <c r="E90" s="10" t="s">
        <v>1151</v>
      </c>
      <c r="F90" s="10">
        <v>33.248655999999997</v>
      </c>
      <c r="G90" s="10">
        <v>44.026072999999997</v>
      </c>
      <c r="H90" s="10" t="s">
        <v>206</v>
      </c>
      <c r="I90" s="10" t="s">
        <v>207</v>
      </c>
      <c r="J90" s="10"/>
      <c r="K90" s="11">
        <v>97</v>
      </c>
      <c r="L90" s="11">
        <v>582</v>
      </c>
      <c r="M90" s="11"/>
      <c r="N90" s="11"/>
      <c r="O90" s="11">
        <v>97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97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>
        <v>21</v>
      </c>
      <c r="AS90" s="11">
        <v>76</v>
      </c>
      <c r="AT90" s="11"/>
      <c r="AU90" s="11"/>
      <c r="AV90" s="20" t="str">
        <f>HYPERLINK("http://www.openstreetmap.org/?mlat=33.2487&amp;mlon=44.0261&amp;zoom=12#map=12/33.2487/44.0261","Maplink1")</f>
        <v>Maplink1</v>
      </c>
      <c r="AW90" s="20" t="str">
        <f>HYPERLINK("https://www.google.iq/maps/search/+33.2487,44.0261/@33.2487,44.0261,14z?hl=en","Maplink2")</f>
        <v>Maplink2</v>
      </c>
      <c r="AX90" s="20" t="str">
        <f>HYPERLINK("http://www.bing.com/maps/?lvl=14&amp;sty=h&amp;cp=33.2487~44.0261&amp;sp=point.33.2487_44.0261","Maplink3")</f>
        <v>Maplink3</v>
      </c>
    </row>
    <row r="91" spans="1:50" x14ac:dyDescent="0.25">
      <c r="A91" s="9">
        <v>25167</v>
      </c>
      <c r="B91" s="10" t="s">
        <v>10</v>
      </c>
      <c r="C91" s="10" t="s">
        <v>222</v>
      </c>
      <c r="D91" s="10" t="s">
        <v>926</v>
      </c>
      <c r="E91" s="10" t="s">
        <v>1152</v>
      </c>
      <c r="F91" s="10">
        <v>33.459456500000002</v>
      </c>
      <c r="G91" s="10">
        <v>44.155631999999997</v>
      </c>
      <c r="H91" s="10" t="s">
        <v>206</v>
      </c>
      <c r="I91" s="10" t="s">
        <v>223</v>
      </c>
      <c r="J91" s="10"/>
      <c r="K91" s="11">
        <v>160</v>
      </c>
      <c r="L91" s="11">
        <v>960</v>
      </c>
      <c r="M91" s="11"/>
      <c r="N91" s="11"/>
      <c r="O91" s="11">
        <v>160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>
        <v>160</v>
      </c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>
        <v>160</v>
      </c>
      <c r="AT91" s="11"/>
      <c r="AU91" s="11"/>
      <c r="AV91" s="20" t="str">
        <f>HYPERLINK("http://www.openstreetmap.org/?mlat=33.4595&amp;mlon=44.1556&amp;zoom=12#map=12/33.4595/44.1556","Maplink1")</f>
        <v>Maplink1</v>
      </c>
      <c r="AW91" s="20" t="str">
        <f>HYPERLINK("https://www.google.iq/maps/search/+33.4595,44.1556/@33.4595,44.1556,14z?hl=en","Maplink2")</f>
        <v>Maplink2</v>
      </c>
      <c r="AX91" s="20" t="str">
        <f>HYPERLINK("http://www.bing.com/maps/?lvl=14&amp;sty=h&amp;cp=33.4595~44.1556&amp;sp=point.33.4595_44.1556_Sabea Al Buor-11000","Maplink3")</f>
        <v>Maplink3</v>
      </c>
    </row>
    <row r="92" spans="1:50" x14ac:dyDescent="0.25">
      <c r="A92" s="9">
        <v>22541</v>
      </c>
      <c r="B92" s="10" t="s">
        <v>10</v>
      </c>
      <c r="C92" s="10" t="s">
        <v>222</v>
      </c>
      <c r="D92" s="10" t="s">
        <v>927</v>
      </c>
      <c r="E92" s="10" t="s">
        <v>1153</v>
      </c>
      <c r="F92" s="10">
        <v>33.459457100000002</v>
      </c>
      <c r="G92" s="10">
        <v>44.155642999999998</v>
      </c>
      <c r="H92" s="10" t="s">
        <v>206</v>
      </c>
      <c r="I92" s="10" t="s">
        <v>223</v>
      </c>
      <c r="J92" s="10" t="s">
        <v>230</v>
      </c>
      <c r="K92" s="11">
        <v>220</v>
      </c>
      <c r="L92" s="11">
        <v>1320</v>
      </c>
      <c r="M92" s="11"/>
      <c r="N92" s="11">
        <v>22</v>
      </c>
      <c r="O92" s="11">
        <v>198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v>220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>
        <v>220</v>
      </c>
      <c r="AT92" s="11"/>
      <c r="AU92" s="11"/>
      <c r="AV92" s="20" t="str">
        <f>HYPERLINK("http://www.openstreetmap.org/?mlat=33.4616&amp;mlon=44.1679&amp;zoom=12#map=12/33.4616/44.1679","Maplink1")</f>
        <v>Maplink1</v>
      </c>
      <c r="AW92" s="20" t="str">
        <f>HYPERLINK("https://www.google.iq/maps/search/+33.4616,44.1679/@33.4616,44.1679,14z?hl=en","Maplink2")</f>
        <v>Maplink2</v>
      </c>
      <c r="AX92" s="20" t="str">
        <f>HYPERLINK("http://www.bing.com/maps/?lvl=14&amp;sty=h&amp;cp=33.4616~44.1679&amp;sp=point.33.4616_44.1679_Sabi Al Bur-12000","Maplink3")</f>
        <v>Maplink3</v>
      </c>
    </row>
    <row r="93" spans="1:50" x14ac:dyDescent="0.25">
      <c r="A93" s="9">
        <v>25160</v>
      </c>
      <c r="B93" s="10" t="s">
        <v>10</v>
      </c>
      <c r="C93" s="10" t="s">
        <v>222</v>
      </c>
      <c r="D93" s="10" t="s">
        <v>928</v>
      </c>
      <c r="E93" s="10" t="s">
        <v>1154</v>
      </c>
      <c r="F93" s="10">
        <v>33.459456000000003</v>
      </c>
      <c r="G93" s="10">
        <v>44.155627000000003</v>
      </c>
      <c r="H93" s="10" t="s">
        <v>206</v>
      </c>
      <c r="I93" s="10" t="s">
        <v>223</v>
      </c>
      <c r="J93" s="10"/>
      <c r="K93" s="11">
        <v>60</v>
      </c>
      <c r="L93" s="11">
        <v>360</v>
      </c>
      <c r="M93" s="11"/>
      <c r="N93" s="11"/>
      <c r="O93" s="11">
        <v>60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>
        <v>60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>
        <v>60</v>
      </c>
      <c r="AS93" s="11"/>
      <c r="AT93" s="11"/>
      <c r="AU93" s="11"/>
      <c r="AV93" s="20" t="str">
        <f>HYPERLINK("http://www.openstreetmap.org/?mlat=33.4595&amp;mlon=44.1556&amp;zoom=12#map=12/33.4595/44.1556","Maplink1")</f>
        <v>Maplink1</v>
      </c>
      <c r="AW93" s="20" t="str">
        <f>HYPERLINK("https://www.google.iq/maps/search/+33.4595,44.1556/@33.4595,44.1556,14z?hl=en","Maplink2")</f>
        <v>Maplink2</v>
      </c>
      <c r="AX93" s="20" t="str">
        <f>HYPERLINK("http://www.bing.com/maps/?lvl=14&amp;sty=h&amp;cp=33.4595~44.1556&amp;sp=point.33.4595_44.1556_Sabea Al Buor-3000","Maplink3")</f>
        <v>Maplink3</v>
      </c>
    </row>
    <row r="94" spans="1:50" x14ac:dyDescent="0.25">
      <c r="A94" s="9">
        <v>25163</v>
      </c>
      <c r="B94" s="10" t="s">
        <v>10</v>
      </c>
      <c r="C94" s="10" t="s">
        <v>222</v>
      </c>
      <c r="D94" s="10" t="s">
        <v>929</v>
      </c>
      <c r="E94" s="10" t="s">
        <v>1155</v>
      </c>
      <c r="F94" s="10">
        <v>33.459443</v>
      </c>
      <c r="G94" s="10">
        <v>44.155633999999999</v>
      </c>
      <c r="H94" s="10" t="s">
        <v>206</v>
      </c>
      <c r="I94" s="10" t="s">
        <v>223</v>
      </c>
      <c r="J94" s="10"/>
      <c r="K94" s="11">
        <v>190</v>
      </c>
      <c r="L94" s="11">
        <v>1140</v>
      </c>
      <c r="M94" s="11"/>
      <c r="N94" s="11">
        <v>12</v>
      </c>
      <c r="O94" s="11">
        <v>170</v>
      </c>
      <c r="P94" s="11"/>
      <c r="Q94" s="11"/>
      <c r="R94" s="11"/>
      <c r="S94" s="11"/>
      <c r="T94" s="11">
        <v>8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v>190</v>
      </c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>
        <v>190</v>
      </c>
      <c r="AS94" s="11"/>
      <c r="AT94" s="11"/>
      <c r="AU94" s="11"/>
      <c r="AV94" s="20" t="str">
        <f>HYPERLINK("http://www.openstreetmap.org/?mlat=33.4594&amp;mlon=44.1556&amp;zoom=12#map=12/33.4594/44.1556","Maplink1")</f>
        <v>Maplink1</v>
      </c>
      <c r="AW94" s="20" t="str">
        <f>HYPERLINK("https://www.google.iq/maps/search/+33.4594,44.1556/@33.4594,44.1556,14z?hl=en","Maplink2")</f>
        <v>Maplink2</v>
      </c>
      <c r="AX94" s="20" t="str">
        <f>HYPERLINK("http://www.bing.com/maps/?lvl=14&amp;sty=h&amp;cp=33.4594~44.1556&amp;sp=point.33.4594_44.1556_Sabea Al Buor-7000","Maplink3")</f>
        <v>Maplink3</v>
      </c>
    </row>
    <row r="95" spans="1:50" x14ac:dyDescent="0.25">
      <c r="A95" s="9">
        <v>25165</v>
      </c>
      <c r="B95" s="10" t="s">
        <v>10</v>
      </c>
      <c r="C95" s="10" t="s">
        <v>222</v>
      </c>
      <c r="D95" s="10" t="s">
        <v>930</v>
      </c>
      <c r="E95" s="10" t="s">
        <v>1156</v>
      </c>
      <c r="F95" s="10">
        <v>33.459460999999997</v>
      </c>
      <c r="G95" s="10">
        <v>44.155636999999999</v>
      </c>
      <c r="H95" s="10" t="s">
        <v>206</v>
      </c>
      <c r="I95" s="10" t="s">
        <v>223</v>
      </c>
      <c r="J95" s="10"/>
      <c r="K95" s="11">
        <v>65</v>
      </c>
      <c r="L95" s="11">
        <v>390</v>
      </c>
      <c r="M95" s="11"/>
      <c r="N95" s="11"/>
      <c r="O95" s="11">
        <v>65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65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>
        <v>65</v>
      </c>
      <c r="AT95" s="11"/>
      <c r="AU95" s="11"/>
      <c r="AV95" s="20" t="str">
        <f>HYPERLINK("http://www.openstreetmap.org/?mlat=33.4595&amp;mlon=44.1556&amp;zoom=12#map=12/33.4595/44.1556","Maplink1")</f>
        <v>Maplink1</v>
      </c>
      <c r="AW95" s="20" t="str">
        <f>HYPERLINK("https://www.google.iq/maps/search/+33.4595,44.1556/@33.4595,44.1556,14z?hl=en","Maplink2")</f>
        <v>Maplink2</v>
      </c>
      <c r="AX95" s="20" t="str">
        <f>HYPERLINK("http://www.bing.com/maps/?lvl=14&amp;sty=h&amp;cp=33.4595~44.1556&amp;sp=point.33.4595_44.1556_Sabea Al Buor-9000","Maplink3")</f>
        <v>Maplink3</v>
      </c>
    </row>
    <row r="96" spans="1:50" x14ac:dyDescent="0.25">
      <c r="A96" s="9">
        <v>22611</v>
      </c>
      <c r="B96" s="10" t="s">
        <v>10</v>
      </c>
      <c r="C96" s="10" t="s">
        <v>222</v>
      </c>
      <c r="D96" s="10" t="s">
        <v>931</v>
      </c>
      <c r="E96" s="10" t="s">
        <v>1157</v>
      </c>
      <c r="F96" s="10">
        <v>33.463000000000001</v>
      </c>
      <c r="G96" s="10">
        <v>44.162999999999997</v>
      </c>
      <c r="H96" s="10" t="s">
        <v>206</v>
      </c>
      <c r="I96" s="10" t="s">
        <v>223</v>
      </c>
      <c r="J96" s="10" t="s">
        <v>229</v>
      </c>
      <c r="K96" s="11">
        <v>108</v>
      </c>
      <c r="L96" s="11">
        <v>648</v>
      </c>
      <c r="M96" s="11"/>
      <c r="N96" s="11"/>
      <c r="O96" s="11">
        <v>108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108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>
        <v>108</v>
      </c>
      <c r="AT96" s="11"/>
      <c r="AU96" s="11"/>
      <c r="AV96" s="20" t="str">
        <f>HYPERLINK("http://www.openstreetmap.org/?mlat=33.463&amp;mlon=44.163&amp;zoom=12#map=12/33.463/44.163","Maplink1")</f>
        <v>Maplink1</v>
      </c>
      <c r="AW96" s="20" t="str">
        <f>HYPERLINK("https://www.google.iq/maps/search/+33.463,44.163/@33.463,44.163,14z?hl=en","Maplink2")</f>
        <v>Maplink2</v>
      </c>
      <c r="AX96" s="20" t="str">
        <f>HYPERLINK("http://www.bing.com/maps/?lvl=14&amp;sty=h&amp;cp=33.463~44.163&amp;sp=point.33.463_44.163_Sabi Al Bur (13000)","Maplink3")</f>
        <v>Maplink3</v>
      </c>
    </row>
    <row r="97" spans="1:50" x14ac:dyDescent="0.25">
      <c r="A97" s="9">
        <v>25168</v>
      </c>
      <c r="B97" s="10" t="s">
        <v>10</v>
      </c>
      <c r="C97" s="10" t="s">
        <v>222</v>
      </c>
      <c r="D97" s="10" t="s">
        <v>224</v>
      </c>
      <c r="E97" s="10" t="s">
        <v>1158</v>
      </c>
      <c r="F97" s="10">
        <v>33.459453000000003</v>
      </c>
      <c r="G97" s="10">
        <v>44.155639100000002</v>
      </c>
      <c r="H97" s="10" t="s">
        <v>206</v>
      </c>
      <c r="I97" s="10" t="s">
        <v>223</v>
      </c>
      <c r="J97" s="10"/>
      <c r="K97" s="11">
        <v>360</v>
      </c>
      <c r="L97" s="11">
        <v>2160</v>
      </c>
      <c r="M97" s="11"/>
      <c r="N97" s="11"/>
      <c r="O97" s="11">
        <v>360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v>360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>
        <v>360</v>
      </c>
      <c r="AS97" s="11"/>
      <c r="AT97" s="11"/>
      <c r="AU97" s="11"/>
      <c r="AV97" s="20" t="str">
        <f>HYPERLINK("http://www.openstreetmap.org/?mlat=33.4595&amp;mlon=44.1556&amp;zoom=12#map=12/33.4595/44.1556","Maplink1")</f>
        <v>Maplink1</v>
      </c>
      <c r="AW97" s="20" t="str">
        <f>HYPERLINK("https://www.google.iq/maps/search/+33.4595,44.1556/@33.4595,44.1556,14z?hl=en","Maplink2")</f>
        <v>Maplink2</v>
      </c>
      <c r="AX97" s="20" t="str">
        <f>HYPERLINK("http://www.bing.com/maps/?lvl=14&amp;sty=h&amp;cp=33.4595~44.1556&amp;sp=point.33.4595_44.1556_Sabea Al Buor-14000","Maplink3")</f>
        <v>Maplink3</v>
      </c>
    </row>
    <row r="98" spans="1:50" x14ac:dyDescent="0.25">
      <c r="A98" s="9">
        <v>25161</v>
      </c>
      <c r="B98" s="10" t="s">
        <v>10</v>
      </c>
      <c r="C98" s="10" t="s">
        <v>222</v>
      </c>
      <c r="D98" s="10" t="s">
        <v>225</v>
      </c>
      <c r="E98" s="10" t="s">
        <v>1159</v>
      </c>
      <c r="F98" s="10">
        <v>33.459457999999998</v>
      </c>
      <c r="G98" s="10">
        <v>44.155628999999998</v>
      </c>
      <c r="H98" s="10" t="s">
        <v>206</v>
      </c>
      <c r="I98" s="10" t="s">
        <v>223</v>
      </c>
      <c r="J98" s="10"/>
      <c r="K98" s="11">
        <v>20</v>
      </c>
      <c r="L98" s="11">
        <v>120</v>
      </c>
      <c r="M98" s="11"/>
      <c r="N98" s="11"/>
      <c r="O98" s="11">
        <v>20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20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>
        <v>20</v>
      </c>
      <c r="AT98" s="11"/>
      <c r="AU98" s="11"/>
      <c r="AV98" s="20" t="str">
        <f>HYPERLINK("http://www.openstreetmap.org/?mlat=33.4595&amp;mlon=44.1556&amp;zoom=12#map=12/33.4595/44.1556","Maplink1")</f>
        <v>Maplink1</v>
      </c>
      <c r="AW98" s="20" t="str">
        <f>HYPERLINK("https://www.google.iq/maps/search/+33.4595,44.1556/@33.4595,44.1556,14z?hl=en","Maplink2")</f>
        <v>Maplink2</v>
      </c>
      <c r="AX98" s="20" t="str">
        <f>HYPERLINK("http://www.bing.com/maps/?lvl=14&amp;sty=h&amp;cp=33.4595~44.1556&amp;sp=point.33.4595_44.1556_Sabea Al Buor-4000","Maplink3")</f>
        <v>Maplink3</v>
      </c>
    </row>
    <row r="99" spans="1:50" x14ac:dyDescent="0.25">
      <c r="A99" s="9">
        <v>23329</v>
      </c>
      <c r="B99" s="10" t="s">
        <v>10</v>
      </c>
      <c r="C99" s="10" t="s">
        <v>222</v>
      </c>
      <c r="D99" s="10" t="s">
        <v>226</v>
      </c>
      <c r="E99" s="10" t="s">
        <v>1160</v>
      </c>
      <c r="F99" s="10">
        <v>33.459454000000001</v>
      </c>
      <c r="G99" s="10">
        <v>44.155622999999999</v>
      </c>
      <c r="H99" s="10" t="s">
        <v>206</v>
      </c>
      <c r="I99" s="10" t="s">
        <v>223</v>
      </c>
      <c r="J99" s="10" t="s">
        <v>227</v>
      </c>
      <c r="K99" s="11">
        <v>75</v>
      </c>
      <c r="L99" s="11">
        <v>450</v>
      </c>
      <c r="M99" s="11"/>
      <c r="N99" s="11"/>
      <c r="O99" s="11">
        <v>75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75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>
        <v>75</v>
      </c>
      <c r="AT99" s="11"/>
      <c r="AU99" s="11"/>
      <c r="AV99" s="20" t="str">
        <f>HYPERLINK("http://www.openstreetmap.org/?mlat=33.4595&amp;mlon=44.1556&amp;zoom=12#map=12/33.4595/44.1556","Maplink1")</f>
        <v>Maplink1</v>
      </c>
      <c r="AW99" s="20" t="str">
        <f>HYPERLINK("https://www.google.iq/maps/search/+33.4595,44.1556/@33.4595,44.1556,14z?hl=en","Maplink2")</f>
        <v>Maplink2</v>
      </c>
      <c r="AX99" s="20" t="str">
        <f>HYPERLINK("http://www.bing.com/maps/?lvl=14&amp;sty=h&amp;cp=33.4595~44.1556&amp;sp=point.33.4595_44.1556_Sabea Al Buor-5000","Maplink3")</f>
        <v>Maplink3</v>
      </c>
    </row>
    <row r="100" spans="1:50" x14ac:dyDescent="0.25">
      <c r="A100" s="9">
        <v>25164</v>
      </c>
      <c r="B100" s="10" t="s">
        <v>10</v>
      </c>
      <c r="C100" s="10" t="s">
        <v>222</v>
      </c>
      <c r="D100" s="10" t="s">
        <v>228</v>
      </c>
      <c r="E100" s="10" t="s">
        <v>1161</v>
      </c>
      <c r="F100" s="10">
        <v>33.459462000000002</v>
      </c>
      <c r="G100" s="10">
        <v>44.155634999999997</v>
      </c>
      <c r="H100" s="10" t="s">
        <v>206</v>
      </c>
      <c r="I100" s="10" t="s">
        <v>223</v>
      </c>
      <c r="J100" s="10"/>
      <c r="K100" s="11">
        <v>270</v>
      </c>
      <c r="L100" s="11">
        <v>1620</v>
      </c>
      <c r="M100" s="11"/>
      <c r="N100" s="11"/>
      <c r="O100" s="11">
        <v>270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v>270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>
        <v>270</v>
      </c>
      <c r="AS100" s="11"/>
      <c r="AT100" s="11"/>
      <c r="AU100" s="11"/>
      <c r="AV100" s="20" t="str">
        <f>HYPERLINK("http://www.openstreetmap.org/?mlat=33.4595&amp;mlon=44.1556&amp;zoom=12#map=12/33.4595/44.1556","Maplink1")</f>
        <v>Maplink1</v>
      </c>
      <c r="AW100" s="20" t="str">
        <f>HYPERLINK("https://www.google.iq/maps/search/+33.4595,44.1556/@33.4595,44.1556,14z?hl=en","Maplink2")</f>
        <v>Maplink2</v>
      </c>
      <c r="AX100" s="20" t="str">
        <f>HYPERLINK("http://www.bing.com/maps/?lvl=14&amp;sty=h&amp;cp=33.4595~44.1556&amp;sp=point.33.4595_44.1556_Sabea Al Buor-8000","Maplink3")</f>
        <v>Maplink3</v>
      </c>
    </row>
    <row r="101" spans="1:50" x14ac:dyDescent="0.25">
      <c r="A101" s="9">
        <v>29585</v>
      </c>
      <c r="B101" s="10" t="s">
        <v>10</v>
      </c>
      <c r="C101" s="10" t="s">
        <v>231</v>
      </c>
      <c r="D101" s="10" t="s">
        <v>1162</v>
      </c>
      <c r="E101" s="10" t="s">
        <v>1163</v>
      </c>
      <c r="F101" s="10">
        <v>33.028165000000001</v>
      </c>
      <c r="G101" s="10">
        <v>44.142736999999997</v>
      </c>
      <c r="H101" s="10" t="s">
        <v>206</v>
      </c>
      <c r="I101" s="10" t="s">
        <v>234</v>
      </c>
      <c r="J101" s="10"/>
      <c r="K101" s="11">
        <v>80</v>
      </c>
      <c r="L101" s="11">
        <v>480</v>
      </c>
      <c r="M101" s="11"/>
      <c r="N101" s="11">
        <v>20</v>
      </c>
      <c r="O101" s="11">
        <v>20</v>
      </c>
      <c r="P101" s="11"/>
      <c r="Q101" s="11"/>
      <c r="R101" s="11"/>
      <c r="S101" s="11">
        <v>20</v>
      </c>
      <c r="T101" s="11"/>
      <c r="U101" s="11"/>
      <c r="V101" s="11">
        <v>20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80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>
        <v>80</v>
      </c>
      <c r="AS101" s="11"/>
      <c r="AT101" s="11"/>
      <c r="AU101" s="11"/>
      <c r="AV101" s="20" t="str">
        <f>HYPERLINK("http://www.openstreetmap.org/?mlat=33.0282&amp;mlon=44.1427&amp;zoom=12#map=12/33.0282/44.1427","Maplink1")</f>
        <v>Maplink1</v>
      </c>
      <c r="AW101" s="20" t="str">
        <f>HYPERLINK("https://www.google.iq/maps/search/+33.0282,44.1427/@33.0282,44.1427,14z?hl=en","Maplink2")</f>
        <v>Maplink2</v>
      </c>
      <c r="AX101" s="20" t="str">
        <f>HYPERLINK("http://www.bing.com/maps/?lvl=14&amp;sty=h&amp;cp=33.0282~44.1427&amp;sp=point.33.0282_44.1427","Maplink3")</f>
        <v>Maplink3</v>
      </c>
    </row>
    <row r="102" spans="1:50" x14ac:dyDescent="0.25">
      <c r="A102" s="9">
        <v>29525</v>
      </c>
      <c r="B102" s="10" t="s">
        <v>10</v>
      </c>
      <c r="C102" s="10" t="s">
        <v>231</v>
      </c>
      <c r="D102" s="10" t="s">
        <v>232</v>
      </c>
      <c r="E102" s="10" t="s">
        <v>233</v>
      </c>
      <c r="F102" s="10">
        <v>33.025404000000002</v>
      </c>
      <c r="G102" s="10">
        <v>44.166293000000003</v>
      </c>
      <c r="H102" s="10" t="s">
        <v>206</v>
      </c>
      <c r="I102" s="10" t="s">
        <v>234</v>
      </c>
      <c r="J102" s="10"/>
      <c r="K102" s="11">
        <v>49</v>
      </c>
      <c r="L102" s="11">
        <v>294</v>
      </c>
      <c r="M102" s="11"/>
      <c r="N102" s="11"/>
      <c r="O102" s="11">
        <v>49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>
        <v>49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>
        <v>49</v>
      </c>
      <c r="AT102" s="11"/>
      <c r="AU102" s="11"/>
      <c r="AV102" s="20" t="str">
        <f>HYPERLINK("http://www.openstreetmap.org/?mlat=33.0254&amp;mlon=44.1663&amp;zoom=12#map=12/33.0254/44.1663","Maplink1")</f>
        <v>Maplink1</v>
      </c>
      <c r="AW102" s="20" t="str">
        <f>HYPERLINK("https://www.google.iq/maps/search/+33.0254,44.1663/@33.0254,44.1663,14z?hl=en","Maplink2")</f>
        <v>Maplink2</v>
      </c>
      <c r="AX102" s="20" t="str">
        <f>HYPERLINK("http://www.bing.com/maps/?lvl=14&amp;sty=h&amp;cp=33.0254~44.1663&amp;sp=point.33.0254_44.1663","Maplink3")</f>
        <v>Maplink3</v>
      </c>
    </row>
    <row r="103" spans="1:50" x14ac:dyDescent="0.25">
      <c r="A103" s="9">
        <v>29524</v>
      </c>
      <c r="B103" s="10" t="s">
        <v>10</v>
      </c>
      <c r="C103" s="10" t="s">
        <v>231</v>
      </c>
      <c r="D103" s="10" t="s">
        <v>235</v>
      </c>
      <c r="E103" s="10" t="s">
        <v>236</v>
      </c>
      <c r="F103" s="10">
        <v>33.029809999999998</v>
      </c>
      <c r="G103" s="10">
        <v>44.142271999999998</v>
      </c>
      <c r="H103" s="10" t="s">
        <v>206</v>
      </c>
      <c r="I103" s="10" t="s">
        <v>234</v>
      </c>
      <c r="J103" s="10"/>
      <c r="K103" s="11">
        <v>75</v>
      </c>
      <c r="L103" s="11">
        <v>450</v>
      </c>
      <c r="M103" s="11"/>
      <c r="N103" s="11">
        <v>23</v>
      </c>
      <c r="O103" s="11">
        <v>42</v>
      </c>
      <c r="P103" s="11"/>
      <c r="Q103" s="11"/>
      <c r="R103" s="11"/>
      <c r="S103" s="11">
        <v>10</v>
      </c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v>75</v>
      </c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>
        <v>75</v>
      </c>
      <c r="AT103" s="11"/>
      <c r="AU103" s="11"/>
      <c r="AV103" s="20" t="str">
        <f>HYPERLINK("http://www.openstreetmap.org/?mlat=33.0298&amp;mlon=44.1423&amp;zoom=12#map=12/33.0298/44.1423","Maplink1")</f>
        <v>Maplink1</v>
      </c>
      <c r="AW103" s="20" t="str">
        <f>HYPERLINK("https://www.google.iq/maps/search/+33.0298,44.1423/@33.0298,44.1423,14z?hl=en","Maplink2")</f>
        <v>Maplink2</v>
      </c>
      <c r="AX103" s="20" t="str">
        <f>HYPERLINK("http://www.bing.com/maps/?lvl=14&amp;sty=h&amp;cp=33.0298~44.1423&amp;sp=point.33.0298_44.1423","Maplink3")</f>
        <v>Maplink3</v>
      </c>
    </row>
    <row r="104" spans="1:50" x14ac:dyDescent="0.25">
      <c r="A104" s="9">
        <v>29527</v>
      </c>
      <c r="B104" s="10" t="s">
        <v>10</v>
      </c>
      <c r="C104" s="10" t="s">
        <v>231</v>
      </c>
      <c r="D104" s="10" t="s">
        <v>237</v>
      </c>
      <c r="E104" s="10" t="s">
        <v>238</v>
      </c>
      <c r="F104" s="10">
        <v>33.057203000000001</v>
      </c>
      <c r="G104" s="10">
        <v>44.220660000000002</v>
      </c>
      <c r="H104" s="10" t="s">
        <v>206</v>
      </c>
      <c r="I104" s="10" t="s">
        <v>234</v>
      </c>
      <c r="J104" s="10"/>
      <c r="K104" s="11">
        <v>25</v>
      </c>
      <c r="L104" s="11">
        <v>150</v>
      </c>
      <c r="M104" s="11"/>
      <c r="N104" s="11"/>
      <c r="O104" s="11">
        <v>25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v>25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>
        <v>25</v>
      </c>
      <c r="AT104" s="11"/>
      <c r="AU104" s="11"/>
      <c r="AV104" s="20" t="str">
        <f>HYPERLINK("http://www.openstreetmap.org/?mlat=33.0572&amp;mlon=44.2207&amp;zoom=12#map=12/33.0572/44.2207","Maplink1")</f>
        <v>Maplink1</v>
      </c>
      <c r="AW104" s="20" t="str">
        <f>HYPERLINK("https://www.google.iq/maps/search/+33.0572,44.2207/@33.0572,44.2207,14z?hl=en","Maplink2")</f>
        <v>Maplink2</v>
      </c>
      <c r="AX104" s="20" t="str">
        <f>HYPERLINK("http://www.bing.com/maps/?lvl=14&amp;sty=h&amp;cp=33.0572~44.2207&amp;sp=point.33.0572_44.2207","Maplink3")</f>
        <v>Maplink3</v>
      </c>
    </row>
    <row r="105" spans="1:50" x14ac:dyDescent="0.25">
      <c r="A105" s="9">
        <v>29493</v>
      </c>
      <c r="B105" s="10" t="s">
        <v>10</v>
      </c>
      <c r="C105" s="10" t="s">
        <v>231</v>
      </c>
      <c r="D105" s="10" t="s">
        <v>239</v>
      </c>
      <c r="E105" s="10" t="s">
        <v>240</v>
      </c>
      <c r="F105" s="10">
        <v>33.028162999999999</v>
      </c>
      <c r="G105" s="10">
        <v>44.142730999999998</v>
      </c>
      <c r="H105" s="10" t="s">
        <v>206</v>
      </c>
      <c r="I105" s="10" t="s">
        <v>234</v>
      </c>
      <c r="J105" s="10"/>
      <c r="K105" s="11">
        <v>70</v>
      </c>
      <c r="L105" s="11">
        <v>420</v>
      </c>
      <c r="M105" s="11"/>
      <c r="N105" s="11"/>
      <c r="O105" s="11">
        <v>70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>
        <v>70</v>
      </c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>
        <v>70</v>
      </c>
      <c r="AS105" s="11"/>
      <c r="AT105" s="11"/>
      <c r="AU105" s="11"/>
      <c r="AV105" s="20" t="str">
        <f>HYPERLINK("http://www.openstreetmap.org/?mlat=33.0282&amp;mlon=44.1427&amp;zoom=12#map=12/33.0282/44.1427","Maplink1")</f>
        <v>Maplink1</v>
      </c>
      <c r="AW105" s="20" t="str">
        <f>HYPERLINK("https://www.google.iq/maps/search/+33.0282,44.1427/@33.0282,44.1427,14z?hl=en","Maplink2")</f>
        <v>Maplink2</v>
      </c>
      <c r="AX105" s="20" t="str">
        <f>HYPERLINK("http://www.bing.com/maps/?lvl=14&amp;sty=h&amp;cp=33.0282~44.1427&amp;sp=point.33.0282_44.1427","Maplink3")</f>
        <v>Maplink3</v>
      </c>
    </row>
    <row r="106" spans="1:50" x14ac:dyDescent="0.25">
      <c r="A106" s="9">
        <v>29492</v>
      </c>
      <c r="B106" s="10" t="s">
        <v>10</v>
      </c>
      <c r="C106" s="10" t="s">
        <v>231</v>
      </c>
      <c r="D106" s="10" t="s">
        <v>241</v>
      </c>
      <c r="E106" s="10" t="s">
        <v>242</v>
      </c>
      <c r="F106" s="10">
        <v>33.026660999999997</v>
      </c>
      <c r="G106" s="10">
        <v>44.169477000000001</v>
      </c>
      <c r="H106" s="10" t="s">
        <v>206</v>
      </c>
      <c r="I106" s="10" t="s">
        <v>234</v>
      </c>
      <c r="J106" s="10"/>
      <c r="K106" s="11">
        <v>33</v>
      </c>
      <c r="L106" s="11">
        <v>198</v>
      </c>
      <c r="M106" s="11"/>
      <c r="N106" s="11"/>
      <c r="O106" s="11">
        <v>33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>
        <v>33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>
        <v>33</v>
      </c>
      <c r="AT106" s="11"/>
      <c r="AU106" s="11"/>
      <c r="AV106" s="20" t="str">
        <f>HYPERLINK("http://www.openstreetmap.org/?mlat=33.0267&amp;mlon=44.1695&amp;zoom=12#map=12/33.0267/44.1695","Maplink1")</f>
        <v>Maplink1</v>
      </c>
      <c r="AW106" s="20" t="str">
        <f>HYPERLINK("https://www.google.iq/maps/search/+33.0267,44.1695/@33.0267,44.1695,14z?hl=en","Maplink2")</f>
        <v>Maplink2</v>
      </c>
      <c r="AX106" s="20" t="str">
        <f>HYPERLINK("http://www.bing.com/maps/?lvl=14&amp;sty=h&amp;cp=33.0267~44.1695&amp;sp=point.33.0267_44.1695","Maplink3")</f>
        <v>Maplink3</v>
      </c>
    </row>
    <row r="107" spans="1:50" x14ac:dyDescent="0.25">
      <c r="A107" s="9">
        <v>29491</v>
      </c>
      <c r="B107" s="10" t="s">
        <v>10</v>
      </c>
      <c r="C107" s="10" t="s">
        <v>231</v>
      </c>
      <c r="D107" s="10" t="s">
        <v>243</v>
      </c>
      <c r="E107" s="10" t="s">
        <v>244</v>
      </c>
      <c r="F107" s="10">
        <v>33.045237999999998</v>
      </c>
      <c r="G107" s="10">
        <v>44.196615999999999</v>
      </c>
      <c r="H107" s="10" t="s">
        <v>206</v>
      </c>
      <c r="I107" s="10" t="s">
        <v>234</v>
      </c>
      <c r="J107" s="10"/>
      <c r="K107" s="11">
        <v>320</v>
      </c>
      <c r="L107" s="11">
        <v>1920</v>
      </c>
      <c r="M107" s="11"/>
      <c r="N107" s="11">
        <v>20</v>
      </c>
      <c r="O107" s="11">
        <v>200</v>
      </c>
      <c r="P107" s="11"/>
      <c r="Q107" s="11"/>
      <c r="R107" s="11"/>
      <c r="S107" s="11">
        <v>24</v>
      </c>
      <c r="T107" s="11"/>
      <c r="U107" s="11"/>
      <c r="V107" s="11"/>
      <c r="W107" s="11"/>
      <c r="X107" s="11"/>
      <c r="Y107" s="11"/>
      <c r="Z107" s="11"/>
      <c r="AA107" s="11"/>
      <c r="AB107" s="11">
        <v>76</v>
      </c>
      <c r="AC107" s="11"/>
      <c r="AD107" s="11"/>
      <c r="AE107" s="11"/>
      <c r="AF107" s="11">
        <v>320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>
        <v>320</v>
      </c>
      <c r="AT107" s="11"/>
      <c r="AU107" s="11"/>
      <c r="AV107" s="20" t="str">
        <f>HYPERLINK("http://www.openstreetmap.org/?mlat=33.0452&amp;mlon=44.1966&amp;zoom=12#map=12/33.0452/44.1966","Maplink1")</f>
        <v>Maplink1</v>
      </c>
      <c r="AW107" s="20" t="str">
        <f>HYPERLINK("https://www.google.iq/maps/search/+33.0452,44.1966/@33.0452,44.1966,14z?hl=en","Maplink2")</f>
        <v>Maplink2</v>
      </c>
      <c r="AX107" s="20" t="str">
        <f>HYPERLINK("http://www.bing.com/maps/?lvl=14&amp;sty=h&amp;cp=33.0452~44.1966&amp;sp=point.33.0452_44.1966","Maplink3")</f>
        <v>Maplink3</v>
      </c>
    </row>
    <row r="108" spans="1:50" x14ac:dyDescent="0.25">
      <c r="A108" s="9">
        <v>29490</v>
      </c>
      <c r="B108" s="10" t="s">
        <v>10</v>
      </c>
      <c r="C108" s="10" t="s">
        <v>231</v>
      </c>
      <c r="D108" s="10" t="s">
        <v>245</v>
      </c>
      <c r="E108" s="10" t="s">
        <v>246</v>
      </c>
      <c r="F108" s="10">
        <v>32.277986159999998</v>
      </c>
      <c r="G108" s="10">
        <v>44.291330000000002</v>
      </c>
      <c r="H108" s="10" t="s">
        <v>206</v>
      </c>
      <c r="I108" s="10" t="s">
        <v>234</v>
      </c>
      <c r="J108" s="10"/>
      <c r="K108" s="11">
        <v>400</v>
      </c>
      <c r="L108" s="11">
        <v>2400</v>
      </c>
      <c r="M108" s="11"/>
      <c r="N108" s="11"/>
      <c r="O108" s="11">
        <v>280</v>
      </c>
      <c r="P108" s="11"/>
      <c r="Q108" s="11"/>
      <c r="R108" s="11"/>
      <c r="S108" s="11">
        <v>120</v>
      </c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v>400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>
        <v>120</v>
      </c>
      <c r="AS108" s="11">
        <v>280</v>
      </c>
      <c r="AT108" s="11"/>
      <c r="AU108" s="11"/>
      <c r="AV108" s="20" t="str">
        <f>HYPERLINK("http://www.openstreetmap.org/?mlat=32.278&amp;mlon=44.2913&amp;zoom=12#map=12/32.278/44.2913","Maplink1")</f>
        <v>Maplink1</v>
      </c>
      <c r="AW108" s="20" t="str">
        <f>HYPERLINK("https://www.google.iq/maps/search/+32.278,44.2913/@32.278,44.2913,14z?hl=en","Maplink2")</f>
        <v>Maplink2</v>
      </c>
      <c r="AX108" s="20" t="str">
        <f>HYPERLINK("http://www.bing.com/maps/?lvl=14&amp;sty=h&amp;cp=32.278~44.2913&amp;sp=point.32.278_44.2913","Maplink3")</f>
        <v>Maplink3</v>
      </c>
    </row>
    <row r="109" spans="1:50" x14ac:dyDescent="0.25">
      <c r="A109" s="9">
        <v>29528</v>
      </c>
      <c r="B109" s="10" t="s">
        <v>10</v>
      </c>
      <c r="C109" s="10" t="s">
        <v>231</v>
      </c>
      <c r="D109" s="10" t="s">
        <v>247</v>
      </c>
      <c r="E109" s="10" t="s">
        <v>248</v>
      </c>
      <c r="F109" s="10">
        <v>33.062821999999997</v>
      </c>
      <c r="G109" s="10">
        <v>44.231236000000003</v>
      </c>
      <c r="H109" s="10" t="s">
        <v>206</v>
      </c>
      <c r="I109" s="10" t="s">
        <v>234</v>
      </c>
      <c r="J109" s="10"/>
      <c r="K109" s="11">
        <v>32</v>
      </c>
      <c r="L109" s="11">
        <v>192</v>
      </c>
      <c r="M109" s="11"/>
      <c r="N109" s="11"/>
      <c r="O109" s="11">
        <v>32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>
        <v>32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>
        <v>32</v>
      </c>
      <c r="AT109" s="11"/>
      <c r="AU109" s="11"/>
      <c r="AV109" s="20" t="str">
        <f>HYPERLINK("http://www.openstreetmap.org/?mlat=33.0628&amp;mlon=44.2312&amp;zoom=12#map=12/33.0628/44.2312","Maplink1")</f>
        <v>Maplink1</v>
      </c>
      <c r="AW109" s="20" t="str">
        <f>HYPERLINK("https://www.google.iq/maps/search/+33.0628,44.2312/@33.0628,44.2312,14z?hl=en","Maplink2")</f>
        <v>Maplink2</v>
      </c>
      <c r="AX109" s="20" t="str">
        <f>HYPERLINK("http://www.bing.com/maps/?lvl=14&amp;sty=h&amp;cp=33.0628~44.2312&amp;sp=point.33.0628_44.2312","Maplink3")</f>
        <v>Maplink3</v>
      </c>
    </row>
    <row r="110" spans="1:50" x14ac:dyDescent="0.25">
      <c r="A110" s="9">
        <v>29523</v>
      </c>
      <c r="B110" s="10" t="s">
        <v>10</v>
      </c>
      <c r="C110" s="10" t="s">
        <v>231</v>
      </c>
      <c r="D110" s="10" t="s">
        <v>249</v>
      </c>
      <c r="E110" s="10" t="s">
        <v>250</v>
      </c>
      <c r="F110" s="10">
        <v>33.075609999999998</v>
      </c>
      <c r="G110" s="10">
        <v>44.247450000000001</v>
      </c>
      <c r="H110" s="10" t="s">
        <v>206</v>
      </c>
      <c r="I110" s="10" t="s">
        <v>234</v>
      </c>
      <c r="J110" s="10"/>
      <c r="K110" s="11">
        <v>1050</v>
      </c>
      <c r="L110" s="11">
        <v>6300</v>
      </c>
      <c r="M110" s="11"/>
      <c r="N110" s="11">
        <v>51</v>
      </c>
      <c r="O110" s="11">
        <v>900</v>
      </c>
      <c r="P110" s="11"/>
      <c r="Q110" s="11"/>
      <c r="R110" s="11"/>
      <c r="S110" s="11">
        <v>99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v>1050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>
        <v>1050</v>
      </c>
      <c r="AT110" s="11"/>
      <c r="AU110" s="11"/>
      <c r="AV110" s="20" t="str">
        <f>HYPERLINK("http://www.openstreetmap.org/?mlat=33.0681&amp;mlon=44.2369&amp;zoom=12#map=12/33.0681/44.2369","Maplink1")</f>
        <v>Maplink1</v>
      </c>
      <c r="AW110" s="20" t="str">
        <f>HYPERLINK("https://www.google.iq/maps/search/+33.0681,44.2369/@33.0681,44.2369,14z?hl=en","Maplink2")</f>
        <v>Maplink2</v>
      </c>
      <c r="AX110" s="20" t="str">
        <f>HYPERLINK("http://www.bing.com/maps/?lvl=14&amp;sty=h&amp;cp=33.0681~44.2369&amp;sp=point.33.0681_44.2369","Maplink3")</f>
        <v>Maplink3</v>
      </c>
    </row>
    <row r="111" spans="1:50" x14ac:dyDescent="0.25">
      <c r="A111" s="9">
        <v>25153</v>
      </c>
      <c r="B111" s="10" t="s">
        <v>10</v>
      </c>
      <c r="C111" s="10" t="s">
        <v>231</v>
      </c>
      <c r="D111" s="10" t="s">
        <v>932</v>
      </c>
      <c r="E111" s="10" t="s">
        <v>1164</v>
      </c>
      <c r="F111" s="10">
        <v>32.984167999999997</v>
      </c>
      <c r="G111" s="10">
        <v>44.311351000000002</v>
      </c>
      <c r="H111" s="10" t="s">
        <v>206</v>
      </c>
      <c r="I111" s="10" t="s">
        <v>234</v>
      </c>
      <c r="J111" s="10"/>
      <c r="K111" s="11">
        <v>22</v>
      </c>
      <c r="L111" s="11">
        <v>132</v>
      </c>
      <c r="M111" s="11"/>
      <c r="N111" s="11"/>
      <c r="O111" s="11">
        <v>22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>
        <v>22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>
        <v>22</v>
      </c>
      <c r="AT111" s="11"/>
      <c r="AU111" s="11"/>
      <c r="AV111" s="20" t="str">
        <f>HYPERLINK("http://www.openstreetmap.org/?mlat=32.9849&amp;mlon=44.3567&amp;zoom=12#map=12/32.9849/44.3567","Maplink1")</f>
        <v>Maplink1</v>
      </c>
      <c r="AW111" s="20" t="str">
        <f>HYPERLINK("https://www.google.iq/maps/search/+32.9849,44.3567/@32.9849,44.3567,14z?hl=en","Maplink2")</f>
        <v>Maplink2</v>
      </c>
      <c r="AX111" s="20" t="str">
        <f>HYPERLINK("http://www.bing.com/maps/?lvl=14&amp;sty=h&amp;cp=32.9849~44.3567&amp;sp=point.32.9849_44.3567_Al Latefia-Kilo 31","Maplink3")</f>
        <v>Maplink3</v>
      </c>
    </row>
    <row r="112" spans="1:50" x14ac:dyDescent="0.25">
      <c r="A112" s="9">
        <v>29489</v>
      </c>
      <c r="B112" s="10" t="s">
        <v>10</v>
      </c>
      <c r="C112" s="10" t="s">
        <v>231</v>
      </c>
      <c r="D112" s="10" t="s">
        <v>933</v>
      </c>
      <c r="E112" s="10" t="s">
        <v>251</v>
      </c>
      <c r="F112" s="10">
        <v>32.984178</v>
      </c>
      <c r="G112" s="10">
        <v>44.311267000000001</v>
      </c>
      <c r="H112" s="10" t="s">
        <v>206</v>
      </c>
      <c r="I112" s="10" t="s">
        <v>234</v>
      </c>
      <c r="J112" s="10"/>
      <c r="K112" s="11">
        <v>36</v>
      </c>
      <c r="L112" s="11">
        <v>216</v>
      </c>
      <c r="M112" s="11"/>
      <c r="N112" s="11"/>
      <c r="O112" s="11">
        <v>36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>
        <v>36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>
        <v>36</v>
      </c>
      <c r="AT112" s="11"/>
      <c r="AU112" s="11"/>
      <c r="AV112" s="20" t="str">
        <f>HYPERLINK("http://www.openstreetmap.org/?mlat=32.9842&amp;mlon=44.3113&amp;zoom=12#map=12/32.9842/44.3113","Maplink1")</f>
        <v>Maplink1</v>
      </c>
      <c r="AW112" s="20" t="str">
        <f>HYPERLINK("https://www.google.iq/maps/search/+32.9842,44.3113/@32.9842,44.3113,14z?hl=en","Maplink2")</f>
        <v>Maplink2</v>
      </c>
      <c r="AX112" s="20" t="str">
        <f>HYPERLINK("http://www.bing.com/maps/?lvl=14&amp;sty=h&amp;cp=32.9842~44.3113&amp;sp=point.32.9842_44.3113","Maplink3")</f>
        <v>Maplink3</v>
      </c>
    </row>
    <row r="113" spans="1:50" x14ac:dyDescent="0.25">
      <c r="A113" s="9">
        <v>29487</v>
      </c>
      <c r="B113" s="10" t="s">
        <v>10</v>
      </c>
      <c r="C113" s="10" t="s">
        <v>231</v>
      </c>
      <c r="D113" s="10" t="s">
        <v>252</v>
      </c>
      <c r="E113" s="10" t="s">
        <v>253</v>
      </c>
      <c r="F113" s="10">
        <v>33.000709999999998</v>
      </c>
      <c r="G113" s="10">
        <v>44.466450000000002</v>
      </c>
      <c r="H113" s="10" t="s">
        <v>206</v>
      </c>
      <c r="I113" s="10" t="s">
        <v>234</v>
      </c>
      <c r="J113" s="10"/>
      <c r="K113" s="11">
        <v>43</v>
      </c>
      <c r="L113" s="11">
        <v>258</v>
      </c>
      <c r="M113" s="11"/>
      <c r="N113" s="11"/>
      <c r="O113" s="11">
        <v>43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v>43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>
        <v>43</v>
      </c>
      <c r="AT113" s="11"/>
      <c r="AU113" s="11"/>
      <c r="AV113" s="20" t="str">
        <f>HYPERLINK("http://www.openstreetmap.org/?mlat=33.0007&amp;mlon=44.4665&amp;zoom=12#map=12/33.0007/44.4665","Maplink1")</f>
        <v>Maplink1</v>
      </c>
      <c r="AW113" s="20" t="str">
        <f>HYPERLINK("https://www.google.iq/maps/search/+33.0007,44.4665/@33.0007,44.4665,14z?hl=en","Maplink2")</f>
        <v>Maplink2</v>
      </c>
      <c r="AX113" s="20" t="str">
        <f>HYPERLINK("http://www.bing.com/maps/?lvl=14&amp;sty=h&amp;cp=33.0007~44.4665&amp;sp=point.33.0007_44.4665","Maplink3")</f>
        <v>Maplink3</v>
      </c>
    </row>
    <row r="114" spans="1:50" x14ac:dyDescent="0.25">
      <c r="A114" s="9">
        <v>7685</v>
      </c>
      <c r="B114" s="10" t="s">
        <v>10</v>
      </c>
      <c r="C114" s="10" t="s">
        <v>231</v>
      </c>
      <c r="D114" s="10" t="s">
        <v>254</v>
      </c>
      <c r="E114" s="10" t="s">
        <v>255</v>
      </c>
      <c r="F114" s="10">
        <v>33.007809999999999</v>
      </c>
      <c r="G114" s="10">
        <v>44.467230000000001</v>
      </c>
      <c r="H114" s="10" t="s">
        <v>206</v>
      </c>
      <c r="I114" s="10" t="s">
        <v>234</v>
      </c>
      <c r="J114" s="10" t="s">
        <v>256</v>
      </c>
      <c r="K114" s="11">
        <v>43</v>
      </c>
      <c r="L114" s="11">
        <v>258</v>
      </c>
      <c r="M114" s="11"/>
      <c r="N114" s="11"/>
      <c r="O114" s="11">
        <v>43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v>43</v>
      </c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>
        <v>43</v>
      </c>
      <c r="AS114" s="11"/>
      <c r="AT114" s="11"/>
      <c r="AU114" s="11"/>
      <c r="AV114" s="20" t="str">
        <f>HYPERLINK("http://www.openstreetmap.org/?mlat=33.0078&amp;mlon=44.4672&amp;zoom=12#map=12/33.0078/44.4672","Maplink1")</f>
        <v>Maplink1</v>
      </c>
      <c r="AW114" s="20" t="str">
        <f>HYPERLINK("https://www.google.iq/maps/search/+33.0078,44.4672/@33.0078,44.4672,14z?hl=en","Maplink2")</f>
        <v>Maplink2</v>
      </c>
      <c r="AX114" s="20" t="str">
        <f>HYPERLINK("http://www.bing.com/maps/?lvl=14&amp;sty=h&amp;cp=33.0078~44.4672&amp;sp=point.33.0078_44.4672","Maplink3")</f>
        <v>Maplink3</v>
      </c>
    </row>
    <row r="115" spans="1:50" x14ac:dyDescent="0.25">
      <c r="A115" s="9">
        <v>7684</v>
      </c>
      <c r="B115" s="10" t="s">
        <v>10</v>
      </c>
      <c r="C115" s="10" t="s">
        <v>231</v>
      </c>
      <c r="D115" s="10" t="s">
        <v>257</v>
      </c>
      <c r="E115" s="10" t="s">
        <v>1165</v>
      </c>
      <c r="F115" s="10">
        <v>33.01361</v>
      </c>
      <c r="G115" s="10">
        <v>44.478009999999998</v>
      </c>
      <c r="H115" s="10" t="s">
        <v>206</v>
      </c>
      <c r="I115" s="10" t="s">
        <v>234</v>
      </c>
      <c r="J115" s="10" t="s">
        <v>258</v>
      </c>
      <c r="K115" s="11">
        <v>28</v>
      </c>
      <c r="L115" s="11">
        <v>168</v>
      </c>
      <c r="M115" s="11"/>
      <c r="N115" s="11"/>
      <c r="O115" s="11">
        <v>28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>
        <v>28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>
        <v>28</v>
      </c>
      <c r="AS115" s="11"/>
      <c r="AT115" s="11"/>
      <c r="AU115" s="11"/>
      <c r="AV115" s="20" t="str">
        <f>HYPERLINK("http://www.openstreetmap.org/?mlat=33.0136&amp;mlon=44.478&amp;zoom=12#map=12/33.0136/44.478","Maplink1")</f>
        <v>Maplink1</v>
      </c>
      <c r="AW115" s="20" t="str">
        <f>HYPERLINK("https://www.google.iq/maps/search/+33.0136,44.478/@33.0136,44.478,14z?hl=en","Maplink2")</f>
        <v>Maplink2</v>
      </c>
      <c r="AX115" s="20" t="str">
        <f>HYPERLINK("http://www.bing.com/maps/?lvl=14&amp;sty=h&amp;cp=33.0136~44.478&amp;sp=point.33.0136_44.478","Maplink3")</f>
        <v>Maplink3</v>
      </c>
    </row>
    <row r="116" spans="1:50" x14ac:dyDescent="0.25">
      <c r="A116" s="9">
        <v>29488</v>
      </c>
      <c r="B116" s="10" t="s">
        <v>10</v>
      </c>
      <c r="C116" s="10" t="s">
        <v>231</v>
      </c>
      <c r="D116" s="10" t="s">
        <v>259</v>
      </c>
      <c r="E116" s="10" t="s">
        <v>260</v>
      </c>
      <c r="F116" s="10">
        <v>33.000633999999998</v>
      </c>
      <c r="G116" s="10">
        <v>44.467770000000002</v>
      </c>
      <c r="H116" s="10" t="s">
        <v>206</v>
      </c>
      <c r="I116" s="10" t="s">
        <v>234</v>
      </c>
      <c r="J116" s="10"/>
      <c r="K116" s="11">
        <v>78</v>
      </c>
      <c r="L116" s="11">
        <v>468</v>
      </c>
      <c r="M116" s="11"/>
      <c r="N116" s="11"/>
      <c r="O116" s="11">
        <v>78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v>78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>
        <v>78</v>
      </c>
      <c r="AT116" s="11"/>
      <c r="AU116" s="11"/>
      <c r="AV116" s="20" t="str">
        <f>HYPERLINK("http://www.openstreetmap.org/?mlat=33.0006&amp;mlon=44.4678&amp;zoom=12#map=12/33.0006/44.4678","Maplink1")</f>
        <v>Maplink1</v>
      </c>
      <c r="AW116" s="20" t="str">
        <f>HYPERLINK("https://www.google.iq/maps/search/+33.0006,44.4678/@33.0006,44.4678,14z?hl=en","Maplink2")</f>
        <v>Maplink2</v>
      </c>
      <c r="AX116" s="20" t="str">
        <f>HYPERLINK("http://www.bing.com/maps/?lvl=14&amp;sty=h&amp;cp=33.0006~44.4678&amp;sp=point.33.0006_44.4678","Maplink3")</f>
        <v>Maplink3</v>
      </c>
    </row>
    <row r="117" spans="1:50" x14ac:dyDescent="0.25">
      <c r="A117" s="9">
        <v>29526</v>
      </c>
      <c r="B117" s="10" t="s">
        <v>10</v>
      </c>
      <c r="C117" s="10" t="s">
        <v>231</v>
      </c>
      <c r="D117" s="10" t="s">
        <v>261</v>
      </c>
      <c r="E117" s="10" t="s">
        <v>262</v>
      </c>
      <c r="F117" s="10">
        <v>33.045174000000003</v>
      </c>
      <c r="G117" s="10">
        <v>44.195934000000001</v>
      </c>
      <c r="H117" s="10" t="s">
        <v>206</v>
      </c>
      <c r="I117" s="10" t="s">
        <v>234</v>
      </c>
      <c r="J117" s="10"/>
      <c r="K117" s="11">
        <v>150</v>
      </c>
      <c r="L117" s="11">
        <v>900</v>
      </c>
      <c r="M117" s="11"/>
      <c r="N117" s="11">
        <v>44</v>
      </c>
      <c r="O117" s="11">
        <v>98</v>
      </c>
      <c r="P117" s="11"/>
      <c r="Q117" s="11"/>
      <c r="R117" s="11"/>
      <c r="S117" s="11">
        <v>8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>
        <v>150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>
        <v>48</v>
      </c>
      <c r="AS117" s="11">
        <v>102</v>
      </c>
      <c r="AT117" s="11"/>
      <c r="AU117" s="11"/>
      <c r="AV117" s="20" t="str">
        <f>HYPERLINK("http://www.openstreetmap.org/?mlat=33.0452&amp;mlon=44.1959&amp;zoom=12#map=12/33.0452/44.1959","Maplink1")</f>
        <v>Maplink1</v>
      </c>
      <c r="AW117" s="20" t="str">
        <f>HYPERLINK("https://www.google.iq/maps/search/+33.0452,44.1959/@33.0452,44.1959,14z?hl=en","Maplink2")</f>
        <v>Maplink2</v>
      </c>
      <c r="AX117" s="20" t="str">
        <f>HYPERLINK("http://www.bing.com/maps/?lvl=14&amp;sty=h&amp;cp=33.0452~44.1959&amp;sp=point.33.0452_44.1959","Maplink3")</f>
        <v>Maplink3</v>
      </c>
    </row>
    <row r="118" spans="1:50" x14ac:dyDescent="0.25">
      <c r="A118" s="9">
        <v>28445</v>
      </c>
      <c r="B118" s="10" t="s">
        <v>13</v>
      </c>
      <c r="C118" s="10" t="s">
        <v>263</v>
      </c>
      <c r="D118" s="10" t="s">
        <v>934</v>
      </c>
      <c r="E118" s="10" t="s">
        <v>264</v>
      </c>
      <c r="F118" s="10">
        <v>34.274324476799997</v>
      </c>
      <c r="G118" s="10">
        <v>44.538236474599998</v>
      </c>
      <c r="H118" s="10" t="s">
        <v>265</v>
      </c>
      <c r="I118" s="10" t="s">
        <v>266</v>
      </c>
      <c r="J118" s="10"/>
      <c r="K118" s="11">
        <v>500</v>
      </c>
      <c r="L118" s="11">
        <v>3000</v>
      </c>
      <c r="M118" s="11"/>
      <c r="N118" s="11"/>
      <c r="O118" s="11"/>
      <c r="P118" s="11"/>
      <c r="Q118" s="11"/>
      <c r="R118" s="11">
        <v>475</v>
      </c>
      <c r="S118" s="11"/>
      <c r="T118" s="11"/>
      <c r="U118" s="11">
        <v>25</v>
      </c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380</v>
      </c>
      <c r="AG118" s="11"/>
      <c r="AH118" s="11"/>
      <c r="AI118" s="11"/>
      <c r="AJ118" s="11"/>
      <c r="AK118" s="11"/>
      <c r="AL118" s="11"/>
      <c r="AM118" s="11"/>
      <c r="AN118" s="11">
        <v>120</v>
      </c>
      <c r="AO118" s="11"/>
      <c r="AP118" s="11"/>
      <c r="AQ118" s="11">
        <v>500</v>
      </c>
      <c r="AR118" s="11"/>
      <c r="AS118" s="11"/>
      <c r="AT118" s="11"/>
      <c r="AU118" s="11"/>
      <c r="AV118" s="20" t="str">
        <f>HYPERLINK("http://www.openstreetmap.org/?mlat=34.1425&amp;mlon=44.3036&amp;zoom=12#map=12/34.1425/44.3036","Maplink1")</f>
        <v>Maplink1</v>
      </c>
      <c r="AW118" s="20" t="str">
        <f>HYPERLINK("https://www.google.iq/maps/search/+34.1425,44.3036/@34.1425,44.3036,14z?hl=en","Maplink2")</f>
        <v>Maplink2</v>
      </c>
      <c r="AX118" s="20" t="str">
        <f>HYPERLINK("http://www.bing.com/maps/?lvl=14&amp;sty=h&amp;cp=34.1425~44.3036&amp;sp=point.34.1425_44.3036_Al Angaa","Maplink3")</f>
        <v>Maplink3</v>
      </c>
    </row>
    <row r="119" spans="1:50" x14ac:dyDescent="0.25">
      <c r="A119" s="9">
        <v>25032</v>
      </c>
      <c r="B119" s="10" t="s">
        <v>13</v>
      </c>
      <c r="C119" s="10" t="s">
        <v>263</v>
      </c>
      <c r="D119" s="10" t="s">
        <v>1166</v>
      </c>
      <c r="E119" s="10" t="s">
        <v>141</v>
      </c>
      <c r="F119" s="10">
        <v>34.0682430938</v>
      </c>
      <c r="G119" s="10">
        <v>44.863518979399998</v>
      </c>
      <c r="H119" s="10" t="s">
        <v>265</v>
      </c>
      <c r="I119" s="10" t="s">
        <v>266</v>
      </c>
      <c r="J119" s="10"/>
      <c r="K119" s="11">
        <v>292</v>
      </c>
      <c r="L119" s="11">
        <v>1752</v>
      </c>
      <c r="M119" s="11"/>
      <c r="N119" s="11"/>
      <c r="O119" s="11"/>
      <c r="P119" s="11"/>
      <c r="Q119" s="11"/>
      <c r="R119" s="11">
        <v>235</v>
      </c>
      <c r="S119" s="11"/>
      <c r="T119" s="11"/>
      <c r="U119" s="11">
        <v>57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>
        <v>292</v>
      </c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>
        <v>292</v>
      </c>
      <c r="AR119" s="11"/>
      <c r="AS119" s="11"/>
      <c r="AT119" s="11"/>
      <c r="AU119" s="11"/>
      <c r="AV119" s="20" t="str">
        <f>HYPERLINK("http://www.openstreetmap.org/?mlat=33.7534&amp;mlon=44.4831&amp;zoom=12#map=12/33.7534/44.4831","Maplink1")</f>
        <v>Maplink1</v>
      </c>
      <c r="AW119" s="20" t="str">
        <f>HYPERLINK("https://www.google.iq/maps/search/+33.7534,44.4831/@33.7534,44.4831,14z?hl=en","Maplink2")</f>
        <v>Maplink2</v>
      </c>
      <c r="AX119" s="20" t="str">
        <f>HYPERLINK("http://www.bing.com/maps/?lvl=14&amp;sty=h&amp;cp=33.7534~44.4831&amp;sp=point.33.7534_44.4831_Hibhib-Al Askary Qtr","Maplink3")</f>
        <v>Maplink3</v>
      </c>
    </row>
    <row r="120" spans="1:50" x14ac:dyDescent="0.25">
      <c r="A120" s="9">
        <v>27182</v>
      </c>
      <c r="B120" s="10" t="s">
        <v>13</v>
      </c>
      <c r="C120" s="10" t="s">
        <v>263</v>
      </c>
      <c r="D120" s="10" t="s">
        <v>267</v>
      </c>
      <c r="E120" s="10" t="s">
        <v>268</v>
      </c>
      <c r="F120" s="10">
        <v>34.247199999999999</v>
      </c>
      <c r="G120" s="10">
        <v>44.5261</v>
      </c>
      <c r="H120" s="10" t="s">
        <v>265</v>
      </c>
      <c r="I120" s="10" t="s">
        <v>266</v>
      </c>
      <c r="J120" s="10"/>
      <c r="K120" s="11">
        <v>33</v>
      </c>
      <c r="L120" s="11">
        <v>198</v>
      </c>
      <c r="M120" s="11"/>
      <c r="N120" s="11"/>
      <c r="O120" s="11"/>
      <c r="P120" s="11"/>
      <c r="Q120" s="11"/>
      <c r="R120" s="11"/>
      <c r="S120" s="11"/>
      <c r="T120" s="11"/>
      <c r="U120" s="11">
        <v>33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>
        <v>33</v>
      </c>
      <c r="AH120" s="11"/>
      <c r="AI120" s="11"/>
      <c r="AJ120" s="11"/>
      <c r="AK120" s="11"/>
      <c r="AL120" s="11"/>
      <c r="AM120" s="11"/>
      <c r="AN120" s="11"/>
      <c r="AO120" s="11"/>
      <c r="AP120" s="11"/>
      <c r="AQ120" s="11">
        <v>33</v>
      </c>
      <c r="AR120" s="11"/>
      <c r="AS120" s="11"/>
      <c r="AT120" s="11"/>
      <c r="AU120" s="11"/>
      <c r="AV120" s="20" t="str">
        <f>HYPERLINK("http://www.openstreetmap.org/?mlat=34.1425&amp;mlon=44.3036&amp;zoom=12#map=12/34.1425/44.3036","Maplink1")</f>
        <v>Maplink1</v>
      </c>
      <c r="AW120" s="20" t="str">
        <f>HYPERLINK("https://www.google.iq/maps/search/+34.1425,44.3036/@34.1425,44.3036,14z?hl=en","Maplink2")</f>
        <v>Maplink2</v>
      </c>
      <c r="AX120" s="20" t="str">
        <f>HYPERLINK("http://www.bing.com/maps/?lvl=14&amp;sty=h&amp;cp=34.1425~44.3036&amp;sp=point.34.1425_44.3036_Al Batat village","Maplink3")</f>
        <v>Maplink3</v>
      </c>
    </row>
    <row r="121" spans="1:50" x14ac:dyDescent="0.25">
      <c r="A121" s="9">
        <v>27157</v>
      </c>
      <c r="B121" s="10" t="s">
        <v>13</v>
      </c>
      <c r="C121" s="10" t="s">
        <v>263</v>
      </c>
      <c r="D121" s="10" t="s">
        <v>269</v>
      </c>
      <c r="E121" s="10" t="s">
        <v>270</v>
      </c>
      <c r="F121" s="10">
        <v>34.279299999999999</v>
      </c>
      <c r="G121" s="10">
        <v>44.562899999999999</v>
      </c>
      <c r="H121" s="10" t="s">
        <v>265</v>
      </c>
      <c r="I121" s="10" t="s">
        <v>266</v>
      </c>
      <c r="J121" s="10"/>
      <c r="K121" s="11">
        <v>17</v>
      </c>
      <c r="L121" s="11">
        <v>102</v>
      </c>
      <c r="M121" s="11"/>
      <c r="N121" s="11"/>
      <c r="O121" s="11"/>
      <c r="P121" s="11"/>
      <c r="Q121" s="11"/>
      <c r="R121" s="11"/>
      <c r="S121" s="11"/>
      <c r="T121" s="11"/>
      <c r="U121" s="11">
        <v>17</v>
      </c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>
        <v>17</v>
      </c>
      <c r="AH121" s="11"/>
      <c r="AI121" s="11"/>
      <c r="AJ121" s="11"/>
      <c r="AK121" s="11"/>
      <c r="AL121" s="11"/>
      <c r="AM121" s="11"/>
      <c r="AN121" s="11"/>
      <c r="AO121" s="11"/>
      <c r="AP121" s="11"/>
      <c r="AQ121" s="11">
        <v>17</v>
      </c>
      <c r="AR121" s="11"/>
      <c r="AS121" s="11"/>
      <c r="AT121" s="11"/>
      <c r="AU121" s="11"/>
      <c r="AV121" s="20" t="str">
        <f>HYPERLINK("http://www.openstreetmap.org/?mlat=34.1425&amp;mlon=44.3036&amp;zoom=12#map=12/34.1425/44.3036","Maplink1")</f>
        <v>Maplink1</v>
      </c>
      <c r="AW121" s="20" t="str">
        <f>HYPERLINK("https://www.google.iq/maps/search/+34.1425,44.3036/@34.1425,44.3036,14z?hl=en","Maplink2")</f>
        <v>Maplink2</v>
      </c>
      <c r="AX121" s="20" t="str">
        <f>HYPERLINK("http://www.bing.com/maps/?lvl=14&amp;sty=h&amp;cp=34.1425~44.3036&amp;sp=point.34.1425_44.3036_Al bo shreh village  ","Maplink3")</f>
        <v>Maplink3</v>
      </c>
    </row>
    <row r="122" spans="1:50" x14ac:dyDescent="0.25">
      <c r="A122" s="9">
        <v>27176</v>
      </c>
      <c r="B122" s="10" t="s">
        <v>13</v>
      </c>
      <c r="C122" s="10" t="s">
        <v>263</v>
      </c>
      <c r="D122" s="10" t="s">
        <v>271</v>
      </c>
      <c r="E122" s="10" t="s">
        <v>272</v>
      </c>
      <c r="F122" s="10">
        <v>34.012702011800002</v>
      </c>
      <c r="G122" s="10">
        <v>44.309891052899999</v>
      </c>
      <c r="H122" s="10" t="s">
        <v>265</v>
      </c>
      <c r="I122" s="10" t="s">
        <v>266</v>
      </c>
      <c r="J122" s="10"/>
      <c r="K122" s="11">
        <v>70</v>
      </c>
      <c r="L122" s="11">
        <v>420</v>
      </c>
      <c r="M122" s="11"/>
      <c r="N122" s="11"/>
      <c r="O122" s="11"/>
      <c r="P122" s="11"/>
      <c r="Q122" s="11"/>
      <c r="R122" s="11"/>
      <c r="S122" s="11"/>
      <c r="T122" s="11"/>
      <c r="U122" s="11">
        <v>70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>
        <v>70</v>
      </c>
      <c r="AH122" s="11"/>
      <c r="AI122" s="11"/>
      <c r="AJ122" s="11"/>
      <c r="AK122" s="11"/>
      <c r="AL122" s="11"/>
      <c r="AM122" s="11"/>
      <c r="AN122" s="11"/>
      <c r="AO122" s="11"/>
      <c r="AP122" s="11"/>
      <c r="AQ122" s="11">
        <v>70</v>
      </c>
      <c r="AR122" s="11"/>
      <c r="AS122" s="11"/>
      <c r="AT122" s="11"/>
      <c r="AU122" s="11"/>
      <c r="AV122" s="20" t="str">
        <f>HYPERLINK("http://www.openstreetmap.org/?mlat=34.1425&amp;mlon=44.3036&amp;zoom=12#map=12/34.1425/44.3036","Maplink1")</f>
        <v>Maplink1</v>
      </c>
      <c r="AW122" s="20" t="str">
        <f>HYPERLINK("https://www.google.iq/maps/search/+34.1425,44.3036/@34.1425,44.3036,14z?hl=en","Maplink2")</f>
        <v>Maplink2</v>
      </c>
      <c r="AX122" s="20" t="str">
        <f>HYPERLINK("http://www.bing.com/maps/?lvl=14&amp;sty=h&amp;cp=34.1425~44.3036&amp;sp=point.34.1425_44.3036_Al Darawish village","Maplink3")</f>
        <v>Maplink3</v>
      </c>
    </row>
    <row r="123" spans="1:50" x14ac:dyDescent="0.25">
      <c r="A123" s="9">
        <v>26076</v>
      </c>
      <c r="B123" s="10" t="s">
        <v>13</v>
      </c>
      <c r="C123" s="10" t="s">
        <v>263</v>
      </c>
      <c r="D123" s="10" t="s">
        <v>935</v>
      </c>
      <c r="E123" s="10" t="s">
        <v>354</v>
      </c>
      <c r="F123" s="10">
        <v>34.0690507411</v>
      </c>
      <c r="G123" s="10">
        <v>44.902165231799998</v>
      </c>
      <c r="H123" s="10" t="s">
        <v>265</v>
      </c>
      <c r="I123" s="10" t="s">
        <v>266</v>
      </c>
      <c r="J123" s="10"/>
      <c r="K123" s="11">
        <v>200</v>
      </c>
      <c r="L123" s="11">
        <v>1200</v>
      </c>
      <c r="M123" s="11"/>
      <c r="N123" s="11"/>
      <c r="O123" s="11"/>
      <c r="P123" s="11"/>
      <c r="Q123" s="11"/>
      <c r="R123" s="11">
        <v>200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>
        <v>35</v>
      </c>
      <c r="AG123" s="11"/>
      <c r="AH123" s="11"/>
      <c r="AI123" s="11"/>
      <c r="AJ123" s="11"/>
      <c r="AK123" s="11"/>
      <c r="AL123" s="11"/>
      <c r="AM123" s="11"/>
      <c r="AN123" s="11">
        <v>165</v>
      </c>
      <c r="AO123" s="11"/>
      <c r="AP123" s="11"/>
      <c r="AQ123" s="11">
        <v>200</v>
      </c>
      <c r="AR123" s="11"/>
      <c r="AS123" s="11"/>
      <c r="AT123" s="11"/>
      <c r="AU123" s="11"/>
      <c r="AV123" s="20" t="str">
        <f>HYPERLINK("http://www.openstreetmap.org/?mlat=34.0675&amp;mlon=44.9021&amp;zoom=12#map=12/34.0675/44.9021","Maplink1")</f>
        <v>Maplink1</v>
      </c>
      <c r="AW123" s="20" t="str">
        <f>HYPERLINK("https://www.google.iq/maps/search/+34.0675,44.9021/@34.0675,44.9021,14z?hl=en","Maplink2")</f>
        <v>Maplink2</v>
      </c>
      <c r="AX123" s="20" t="str">
        <f>HYPERLINK("http://www.bing.com/maps/?lvl=14&amp;sty=h&amp;cp=34.0675~44.9021&amp;sp=point.34.0675_44.9021_Dwaleeb Al-lmam village","Maplink3")</f>
        <v>Maplink3</v>
      </c>
    </row>
    <row r="124" spans="1:50" x14ac:dyDescent="0.25">
      <c r="A124" s="9">
        <v>28469</v>
      </c>
      <c r="B124" s="10" t="s">
        <v>13</v>
      </c>
      <c r="C124" s="10" t="s">
        <v>263</v>
      </c>
      <c r="D124" s="10" t="s">
        <v>273</v>
      </c>
      <c r="E124" s="10" t="s">
        <v>274</v>
      </c>
      <c r="F124" s="10">
        <v>34.2605</v>
      </c>
      <c r="G124" s="10">
        <v>44.550800000000002</v>
      </c>
      <c r="H124" s="10" t="s">
        <v>265</v>
      </c>
      <c r="I124" s="10" t="s">
        <v>266</v>
      </c>
      <c r="J124" s="10"/>
      <c r="K124" s="11">
        <v>75</v>
      </c>
      <c r="L124" s="11">
        <v>450</v>
      </c>
      <c r="M124" s="11"/>
      <c r="N124" s="11"/>
      <c r="O124" s="11"/>
      <c r="P124" s="11"/>
      <c r="Q124" s="11"/>
      <c r="R124" s="11">
        <v>75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>
        <v>75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v>75</v>
      </c>
      <c r="AR124" s="11"/>
      <c r="AS124" s="11"/>
      <c r="AT124" s="11"/>
      <c r="AU124" s="11"/>
      <c r="AV124" s="20" t="str">
        <f>HYPERLINK("http://www.openstreetmap.org/?mlat=34.1425&amp;mlon=44.3036&amp;zoom=12#map=12/34.1425/44.3036","Maplink1")</f>
        <v>Maplink1</v>
      </c>
      <c r="AW124" s="20" t="str">
        <f>HYPERLINK("https://www.google.iq/maps/search/+34.1425,44.3036/@34.1425,44.3036,14z?hl=en","Maplink2")</f>
        <v>Maplink2</v>
      </c>
      <c r="AX124" s="20" t="str">
        <f>HYPERLINK("http://www.bing.com/maps/?lvl=14&amp;sty=h&amp;cp=34.1425~44.3036&amp;sp=point.34.1425_44.3036_Al Angaa","Maplink3")</f>
        <v>Maplink3</v>
      </c>
    </row>
    <row r="125" spans="1:50" x14ac:dyDescent="0.25">
      <c r="A125" s="9">
        <v>21162</v>
      </c>
      <c r="B125" s="10" t="s">
        <v>13</v>
      </c>
      <c r="C125" s="10" t="s">
        <v>263</v>
      </c>
      <c r="D125" s="10" t="s">
        <v>275</v>
      </c>
      <c r="E125" s="10" t="s">
        <v>276</v>
      </c>
      <c r="F125" s="10">
        <v>34.216579066000001</v>
      </c>
      <c r="G125" s="10">
        <v>44.468902393199997</v>
      </c>
      <c r="H125" s="10" t="s">
        <v>265</v>
      </c>
      <c r="I125" s="10" t="s">
        <v>266</v>
      </c>
      <c r="J125" s="10" t="s">
        <v>277</v>
      </c>
      <c r="K125" s="11">
        <v>34</v>
      </c>
      <c r="L125" s="11">
        <v>204</v>
      </c>
      <c r="M125" s="11"/>
      <c r="N125" s="11"/>
      <c r="O125" s="11"/>
      <c r="P125" s="11"/>
      <c r="Q125" s="11"/>
      <c r="R125" s="11"/>
      <c r="S125" s="11"/>
      <c r="T125" s="11"/>
      <c r="U125" s="11">
        <v>34</v>
      </c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>
        <v>34</v>
      </c>
      <c r="AH125" s="11"/>
      <c r="AI125" s="11"/>
      <c r="AJ125" s="11"/>
      <c r="AK125" s="11"/>
      <c r="AL125" s="11"/>
      <c r="AM125" s="11"/>
      <c r="AN125" s="11"/>
      <c r="AO125" s="11"/>
      <c r="AP125" s="11"/>
      <c r="AQ125" s="11">
        <v>34</v>
      </c>
      <c r="AR125" s="11"/>
      <c r="AS125" s="11"/>
      <c r="AT125" s="11"/>
      <c r="AU125" s="11"/>
      <c r="AV125" s="20" t="str">
        <f>HYPERLINK("http://www.openstreetmap.org/?mlat=34.1425&amp;mlon=44.3036&amp;zoom=12#map=12/34.1425/44.3036","Maplink1")</f>
        <v>Maplink1</v>
      </c>
      <c r="AW125" s="20" t="str">
        <f>HYPERLINK("https://www.google.iq/maps/search/+34.1425,44.3036/@34.1425,44.3036,14z?hl=en","Maplink2")</f>
        <v>Maplink2</v>
      </c>
      <c r="AX125" s="20" t="str">
        <f>HYPERLINK("http://www.bing.com/maps/?lvl=14&amp;sty=h&amp;cp=34.1425~44.3036&amp;sp=point.34.1425_44.3036_Al Hataween village","Maplink3")</f>
        <v>Maplink3</v>
      </c>
    </row>
    <row r="126" spans="1:50" x14ac:dyDescent="0.25">
      <c r="A126" s="9">
        <v>27177</v>
      </c>
      <c r="B126" s="10" t="s">
        <v>13</v>
      </c>
      <c r="C126" s="10" t="s">
        <v>263</v>
      </c>
      <c r="D126" s="10" t="s">
        <v>278</v>
      </c>
      <c r="E126" s="10" t="s">
        <v>279</v>
      </c>
      <c r="F126" s="10">
        <v>34.090948081500002</v>
      </c>
      <c r="G126" s="10">
        <v>44.348268050800002</v>
      </c>
      <c r="H126" s="10" t="s">
        <v>265</v>
      </c>
      <c r="I126" s="10" t="s">
        <v>266</v>
      </c>
      <c r="J126" s="10"/>
      <c r="K126" s="11">
        <v>42</v>
      </c>
      <c r="L126" s="11">
        <v>252</v>
      </c>
      <c r="M126" s="11"/>
      <c r="N126" s="11"/>
      <c r="O126" s="11"/>
      <c r="P126" s="11"/>
      <c r="Q126" s="11"/>
      <c r="R126" s="11"/>
      <c r="S126" s="11"/>
      <c r="T126" s="11"/>
      <c r="U126" s="11">
        <v>42</v>
      </c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>
        <v>42</v>
      </c>
      <c r="AH126" s="11"/>
      <c r="AI126" s="11"/>
      <c r="AJ126" s="11"/>
      <c r="AK126" s="11"/>
      <c r="AL126" s="11"/>
      <c r="AM126" s="11"/>
      <c r="AN126" s="11"/>
      <c r="AO126" s="11"/>
      <c r="AP126" s="11"/>
      <c r="AQ126" s="11">
        <v>42</v>
      </c>
      <c r="AR126" s="11"/>
      <c r="AS126" s="11"/>
      <c r="AT126" s="11"/>
      <c r="AU126" s="11"/>
      <c r="AV126" s="20" t="str">
        <f>HYPERLINK("http://www.openstreetmap.org/?mlat=34.1425&amp;mlon=44.3036&amp;zoom=12#map=12/34.1425/44.3036","Maplink1")</f>
        <v>Maplink1</v>
      </c>
      <c r="AW126" s="20" t="str">
        <f>HYPERLINK("https://www.google.iq/maps/search/+34.1425,44.3036/@34.1425,44.3036,14z?hl=en","Maplink2")</f>
        <v>Maplink2</v>
      </c>
      <c r="AX126" s="20" t="str">
        <f>HYPERLINK("http://www.bing.com/maps/?lvl=14&amp;sty=h&amp;cp=34.1425~44.3036&amp;sp=point.34.1425_44.3036_Al Jardaniya village","Maplink3")</f>
        <v>Maplink3</v>
      </c>
    </row>
    <row r="127" spans="1:50" x14ac:dyDescent="0.25">
      <c r="A127" s="9">
        <v>21161</v>
      </c>
      <c r="B127" s="10" t="s">
        <v>13</v>
      </c>
      <c r="C127" s="10" t="s">
        <v>263</v>
      </c>
      <c r="D127" s="10" t="s">
        <v>936</v>
      </c>
      <c r="E127" s="10" t="s">
        <v>280</v>
      </c>
      <c r="F127" s="10">
        <v>34.219653668799999</v>
      </c>
      <c r="G127" s="10">
        <v>44.481016433400001</v>
      </c>
      <c r="H127" s="10" t="s">
        <v>265</v>
      </c>
      <c r="I127" s="10" t="s">
        <v>266</v>
      </c>
      <c r="J127" s="10" t="s">
        <v>281</v>
      </c>
      <c r="K127" s="11">
        <v>125</v>
      </c>
      <c r="L127" s="11">
        <v>750</v>
      </c>
      <c r="M127" s="11"/>
      <c r="N127" s="11"/>
      <c r="O127" s="11"/>
      <c r="P127" s="11"/>
      <c r="Q127" s="11"/>
      <c r="R127" s="11"/>
      <c r="S127" s="11"/>
      <c r="T127" s="11"/>
      <c r="U127" s="11">
        <v>125</v>
      </c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>
        <v>125</v>
      </c>
      <c r="AH127" s="11"/>
      <c r="AI127" s="11"/>
      <c r="AJ127" s="11"/>
      <c r="AK127" s="11"/>
      <c r="AL127" s="11"/>
      <c r="AM127" s="11"/>
      <c r="AN127" s="11"/>
      <c r="AO127" s="11"/>
      <c r="AP127" s="11"/>
      <c r="AQ127" s="11">
        <v>125</v>
      </c>
      <c r="AR127" s="11"/>
      <c r="AS127" s="11"/>
      <c r="AT127" s="11"/>
      <c r="AU127" s="11"/>
      <c r="AV127" s="20" t="str">
        <f>HYPERLINK("http://www.openstreetmap.org/?mlat=34.1425&amp;mlon=44.3036&amp;zoom=12#map=12/34.1425/44.3036","Maplink1")</f>
        <v>Maplink1</v>
      </c>
      <c r="AW127" s="20" t="str">
        <f>HYPERLINK("https://www.google.iq/maps/search/+34.1425,44.3036/@34.1425,44.3036,14z?hl=en","Maplink2")</f>
        <v>Maplink2</v>
      </c>
      <c r="AX127" s="20" t="str">
        <f>HYPERLINK("http://www.bing.com/maps/?lvl=14&amp;sty=h&amp;cp=34.1425~44.3036&amp;sp=point.34.1425_44.3036_Al Kholafa'village","Maplink3")</f>
        <v>Maplink3</v>
      </c>
    </row>
    <row r="128" spans="1:50" x14ac:dyDescent="0.25">
      <c r="A128" s="9">
        <v>21223</v>
      </c>
      <c r="B128" s="10" t="s">
        <v>13</v>
      </c>
      <c r="C128" s="10" t="s">
        <v>263</v>
      </c>
      <c r="D128" s="10" t="s">
        <v>937</v>
      </c>
      <c r="E128" s="10" t="s">
        <v>938</v>
      </c>
      <c r="F128" s="10">
        <v>34.332530419400001</v>
      </c>
      <c r="G128" s="10">
        <v>44.558998269999996</v>
      </c>
      <c r="H128" s="10" t="s">
        <v>265</v>
      </c>
      <c r="I128" s="10" t="s">
        <v>266</v>
      </c>
      <c r="J128" s="10" t="s">
        <v>939</v>
      </c>
      <c r="K128" s="11">
        <v>113</v>
      </c>
      <c r="L128" s="11">
        <v>678</v>
      </c>
      <c r="M128" s="11"/>
      <c r="N128" s="11"/>
      <c r="O128" s="11"/>
      <c r="P128" s="11"/>
      <c r="Q128" s="11">
        <v>113</v>
      </c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>
        <v>113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>
        <v>113</v>
      </c>
      <c r="AR128" s="11"/>
      <c r="AS128" s="11"/>
      <c r="AT128" s="11"/>
      <c r="AU128" s="11"/>
      <c r="AV128" s="20" t="str">
        <f>HYPERLINK("http://www.openstreetmap.org/?mlat=34.2053&amp;mlon=44.4952&amp;zoom=12#map=12/34.2053/44.4952","Maplink1")</f>
        <v>Maplink1</v>
      </c>
      <c r="AW128" s="20" t="str">
        <f>HYPERLINK("https://www.google.iq/maps/search/+34.2053,44.4952/@34.2053,44.4952,14z?hl=en","Maplink2")</f>
        <v>Maplink2</v>
      </c>
      <c r="AX128" s="20" t="str">
        <f>HYPERLINK("http://www.bing.com/maps/?lvl=14&amp;sty=h&amp;cp=34.2053~44.4952&amp;sp=point.34.2053_44.4952","Maplink3")</f>
        <v>Maplink3</v>
      </c>
    </row>
    <row r="129" spans="1:50" x14ac:dyDescent="0.25">
      <c r="A129" s="9">
        <v>27165</v>
      </c>
      <c r="B129" s="10" t="s">
        <v>13</v>
      </c>
      <c r="C129" s="10" t="s">
        <v>263</v>
      </c>
      <c r="D129" s="10" t="s">
        <v>940</v>
      </c>
      <c r="E129" s="10" t="s">
        <v>1167</v>
      </c>
      <c r="F129" s="10">
        <v>34.210737373699999</v>
      </c>
      <c r="G129" s="10">
        <v>44.526633813799997</v>
      </c>
      <c r="H129" s="10" t="s">
        <v>265</v>
      </c>
      <c r="I129" s="10" t="s">
        <v>266</v>
      </c>
      <c r="J129" s="10"/>
      <c r="K129" s="11">
        <v>17</v>
      </c>
      <c r="L129" s="11">
        <v>102</v>
      </c>
      <c r="M129" s="11"/>
      <c r="N129" s="11"/>
      <c r="O129" s="11"/>
      <c r="P129" s="11"/>
      <c r="Q129" s="11"/>
      <c r="R129" s="11"/>
      <c r="S129" s="11"/>
      <c r="T129" s="11"/>
      <c r="U129" s="11">
        <v>17</v>
      </c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>
        <v>17</v>
      </c>
      <c r="AH129" s="11"/>
      <c r="AI129" s="11"/>
      <c r="AJ129" s="11"/>
      <c r="AK129" s="11"/>
      <c r="AL129" s="11"/>
      <c r="AM129" s="11"/>
      <c r="AN129" s="11"/>
      <c r="AO129" s="11"/>
      <c r="AP129" s="11"/>
      <c r="AQ129" s="11">
        <v>17</v>
      </c>
      <c r="AR129" s="11"/>
      <c r="AS129" s="11"/>
      <c r="AT129" s="11"/>
      <c r="AU129" s="11"/>
      <c r="AV129" s="20" t="str">
        <f>HYPERLINK("http://www.openstreetmap.org/?mlat=34.1425&amp;mlon=44.3036&amp;zoom=12#map=12/34.1425/44.3036","Maplink1")</f>
        <v>Maplink1</v>
      </c>
      <c r="AW129" s="20" t="str">
        <f>HYPERLINK("https://www.google.iq/maps/search/+34.1425,44.3036/@34.1425,44.3036,14z?hl=en","Maplink2")</f>
        <v>Maplink2</v>
      </c>
      <c r="AX129" s="20" t="str">
        <f>HYPERLINK("http://www.bing.com/maps/?lvl=14&amp;sty=h&amp;cp=34.1425~44.3036&amp;sp=point.34.1425_44.3036_Al Misht Al Ola /Albo Farhan village","Maplink3")</f>
        <v>Maplink3</v>
      </c>
    </row>
    <row r="130" spans="1:50" x14ac:dyDescent="0.25">
      <c r="A130" s="9">
        <v>27166</v>
      </c>
      <c r="B130" s="10" t="s">
        <v>13</v>
      </c>
      <c r="C130" s="10" t="s">
        <v>263</v>
      </c>
      <c r="D130" s="10" t="s">
        <v>941</v>
      </c>
      <c r="E130" s="10" t="s">
        <v>1168</v>
      </c>
      <c r="F130" s="10">
        <v>34.196613700999997</v>
      </c>
      <c r="G130" s="10">
        <v>44.533133909500002</v>
      </c>
      <c r="H130" s="10" t="s">
        <v>265</v>
      </c>
      <c r="I130" s="10" t="s">
        <v>266</v>
      </c>
      <c r="J130" s="10"/>
      <c r="K130" s="11">
        <v>22</v>
      </c>
      <c r="L130" s="11">
        <v>132</v>
      </c>
      <c r="M130" s="11"/>
      <c r="N130" s="11"/>
      <c r="O130" s="11"/>
      <c r="P130" s="11"/>
      <c r="Q130" s="11"/>
      <c r="R130" s="11"/>
      <c r="S130" s="11"/>
      <c r="T130" s="11"/>
      <c r="U130" s="11">
        <v>22</v>
      </c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>
        <v>22</v>
      </c>
      <c r="AH130" s="11"/>
      <c r="AI130" s="11"/>
      <c r="AJ130" s="11"/>
      <c r="AK130" s="11"/>
      <c r="AL130" s="11"/>
      <c r="AM130" s="11"/>
      <c r="AN130" s="11"/>
      <c r="AO130" s="11"/>
      <c r="AP130" s="11"/>
      <c r="AQ130" s="11">
        <v>22</v>
      </c>
      <c r="AR130" s="11"/>
      <c r="AS130" s="11"/>
      <c r="AT130" s="11"/>
      <c r="AU130" s="11"/>
      <c r="AV130" s="20" t="str">
        <f>HYPERLINK("http://www.openstreetmap.org/?mlat=34.1425&amp;mlon=44.3036&amp;zoom=12#map=12/34.1425/44.3036","Maplink1")</f>
        <v>Maplink1</v>
      </c>
      <c r="AW130" s="20" t="str">
        <f>HYPERLINK("https://www.google.iq/maps/search/+34.1425,44.3036/@34.1425,44.3036,14z?hl=en","Maplink2")</f>
        <v>Maplink2</v>
      </c>
      <c r="AX130" s="20" t="str">
        <f>HYPERLINK("http://www.bing.com/maps/?lvl=14&amp;sty=h&amp;cp=34.1425~44.3036&amp;sp=point.34.1425_44.3036_Al Misht Al thaniya /Albo Farhan village","Maplink3")</f>
        <v>Maplink3</v>
      </c>
    </row>
    <row r="131" spans="1:50" x14ac:dyDescent="0.25">
      <c r="A131" s="9">
        <v>27181</v>
      </c>
      <c r="B131" s="10" t="s">
        <v>13</v>
      </c>
      <c r="C131" s="10" t="s">
        <v>263</v>
      </c>
      <c r="D131" s="10" t="s">
        <v>942</v>
      </c>
      <c r="E131" s="10" t="s">
        <v>282</v>
      </c>
      <c r="F131" s="10">
        <v>34.455403015999998</v>
      </c>
      <c r="G131" s="10">
        <v>44.492120333199999</v>
      </c>
      <c r="H131" s="10" t="s">
        <v>265</v>
      </c>
      <c r="I131" s="10" t="s">
        <v>266</v>
      </c>
      <c r="J131" s="10"/>
      <c r="K131" s="11">
        <v>20</v>
      </c>
      <c r="L131" s="11">
        <v>120</v>
      </c>
      <c r="M131" s="11"/>
      <c r="N131" s="11"/>
      <c r="O131" s="11"/>
      <c r="P131" s="11"/>
      <c r="Q131" s="11"/>
      <c r="R131" s="11"/>
      <c r="S131" s="11"/>
      <c r="T131" s="11"/>
      <c r="U131" s="11">
        <v>20</v>
      </c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>
        <v>20</v>
      </c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v>20</v>
      </c>
      <c r="AR131" s="11"/>
      <c r="AS131" s="11"/>
      <c r="AT131" s="11"/>
      <c r="AU131" s="11"/>
      <c r="AV131" s="20" t="str">
        <f>HYPERLINK("http://www.openstreetmap.org/?mlat=34.1425&amp;mlon=44.3036&amp;zoom=12#map=12/34.1425/44.3036","Maplink1")</f>
        <v>Maplink1</v>
      </c>
      <c r="AW131" s="20" t="str">
        <f>HYPERLINK("https://www.google.iq/maps/search/+34.1425,44.3036/@34.1425,44.3036,14z?hl=en","Maplink2")</f>
        <v>Maplink2</v>
      </c>
      <c r="AX131" s="20" t="str">
        <f>HYPERLINK("http://www.bing.com/maps/?lvl=14&amp;sty=h&amp;cp=34.1425~44.3036&amp;sp=point.34.1425_44.3036_Al Qal'a village","Maplink3")</f>
        <v>Maplink3</v>
      </c>
    </row>
    <row r="132" spans="1:50" x14ac:dyDescent="0.25">
      <c r="A132" s="9">
        <v>26057</v>
      </c>
      <c r="B132" s="10" t="s">
        <v>13</v>
      </c>
      <c r="C132" s="10" t="s">
        <v>263</v>
      </c>
      <c r="D132" s="10" t="s">
        <v>283</v>
      </c>
      <c r="E132" s="10" t="s">
        <v>284</v>
      </c>
      <c r="F132" s="10">
        <v>34.084800000000001</v>
      </c>
      <c r="G132" s="10">
        <v>44.891100000000002</v>
      </c>
      <c r="H132" s="10" t="s">
        <v>265</v>
      </c>
      <c r="I132" s="10" t="s">
        <v>266</v>
      </c>
      <c r="J132" s="10"/>
      <c r="K132" s="11">
        <v>32</v>
      </c>
      <c r="L132" s="11">
        <v>192</v>
      </c>
      <c r="M132" s="11"/>
      <c r="N132" s="11"/>
      <c r="O132" s="11"/>
      <c r="P132" s="11"/>
      <c r="Q132" s="11"/>
      <c r="R132" s="11">
        <v>32</v>
      </c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>
        <v>32</v>
      </c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>
        <v>32</v>
      </c>
      <c r="AR132" s="11"/>
      <c r="AS132" s="11"/>
      <c r="AT132" s="11"/>
      <c r="AU132" s="11"/>
      <c r="AV132" s="20" t="str">
        <f>HYPERLINK("http://www.openstreetmap.org/?mlat=34.0848&amp;mlon=44.8911&amp;zoom=12#map=12/34.0848/44.8911","Maplink1")</f>
        <v>Maplink1</v>
      </c>
      <c r="AW132" s="20" t="str">
        <f>HYPERLINK("https://www.google.iq/maps/search/+34.0848,44.8911/@34.0848,44.8911,14z?hl=en","Maplink2")</f>
        <v>Maplink2</v>
      </c>
      <c r="AX132" s="20" t="str">
        <f>HYPERLINK("http://www.bing.com/maps/?lvl=14&amp;sty=h&amp;cp=34.0848~44.8911&amp;sp=point.34.0848_44.8911_Al Rmelat Village","Maplink3")</f>
        <v>Maplink3</v>
      </c>
    </row>
    <row r="133" spans="1:50" x14ac:dyDescent="0.25">
      <c r="A133" s="9">
        <v>27158</v>
      </c>
      <c r="B133" s="10" t="s">
        <v>13</v>
      </c>
      <c r="C133" s="10" t="s">
        <v>263</v>
      </c>
      <c r="D133" s="10" t="s">
        <v>285</v>
      </c>
      <c r="E133" s="10" t="s">
        <v>286</v>
      </c>
      <c r="F133" s="10">
        <v>34.412782622500004</v>
      </c>
      <c r="G133" s="10">
        <v>44.596434018799997</v>
      </c>
      <c r="H133" s="10" t="s">
        <v>265</v>
      </c>
      <c r="I133" s="10" t="s">
        <v>266</v>
      </c>
      <c r="J133" s="10"/>
      <c r="K133" s="11">
        <v>75</v>
      </c>
      <c r="L133" s="11">
        <v>450</v>
      </c>
      <c r="M133" s="11"/>
      <c r="N133" s="11"/>
      <c r="O133" s="11"/>
      <c r="P133" s="11"/>
      <c r="Q133" s="11"/>
      <c r="R133" s="11"/>
      <c r="S133" s="11"/>
      <c r="T133" s="11"/>
      <c r="U133" s="11">
        <v>75</v>
      </c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>
        <v>75</v>
      </c>
      <c r="AH133" s="11"/>
      <c r="AI133" s="11"/>
      <c r="AJ133" s="11"/>
      <c r="AK133" s="11"/>
      <c r="AL133" s="11"/>
      <c r="AM133" s="11"/>
      <c r="AN133" s="11"/>
      <c r="AO133" s="11"/>
      <c r="AP133" s="11"/>
      <c r="AQ133" s="11">
        <v>75</v>
      </c>
      <c r="AR133" s="11"/>
      <c r="AS133" s="11"/>
      <c r="AT133" s="11"/>
      <c r="AU133" s="11"/>
      <c r="AV133" s="20" t="str">
        <f>HYPERLINK("http://www.openstreetmap.org/?mlat=34.1425&amp;mlon=44.3036&amp;zoom=12#map=12/34.1425/44.3036","Maplink1")</f>
        <v>Maplink1</v>
      </c>
      <c r="AW133" s="20" t="str">
        <f>HYPERLINK("https://www.google.iq/maps/search/+34.1425,44.3036/@34.1425,44.3036,14z?hl=en","Maplink2")</f>
        <v>Maplink2</v>
      </c>
      <c r="AX133" s="20" t="str">
        <f>HYPERLINK("http://www.bing.com/maps/?lvl=14&amp;sty=h&amp;cp=34.1425~44.3036&amp;sp=point.34.1425_44.3036_Al Safra al kebera village","Maplink3")</f>
        <v>Maplink3</v>
      </c>
    </row>
    <row r="134" spans="1:50" x14ac:dyDescent="0.25">
      <c r="A134" s="9">
        <v>27159</v>
      </c>
      <c r="B134" s="10" t="s">
        <v>13</v>
      </c>
      <c r="C134" s="10" t="s">
        <v>263</v>
      </c>
      <c r="D134" s="10" t="s">
        <v>287</v>
      </c>
      <c r="E134" s="10" t="s">
        <v>288</v>
      </c>
      <c r="F134" s="10">
        <v>34.4173823287</v>
      </c>
      <c r="G134" s="10">
        <v>44.584945681599997</v>
      </c>
      <c r="H134" s="10" t="s">
        <v>265</v>
      </c>
      <c r="I134" s="10" t="s">
        <v>266</v>
      </c>
      <c r="J134" s="10"/>
      <c r="K134" s="11">
        <v>35</v>
      </c>
      <c r="L134" s="11">
        <v>210</v>
      </c>
      <c r="M134" s="11"/>
      <c r="N134" s="11"/>
      <c r="O134" s="11"/>
      <c r="P134" s="11"/>
      <c r="Q134" s="11"/>
      <c r="R134" s="11"/>
      <c r="S134" s="11"/>
      <c r="T134" s="11"/>
      <c r="U134" s="11">
        <v>35</v>
      </c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>
        <v>35</v>
      </c>
      <c r="AH134" s="11"/>
      <c r="AI134" s="11"/>
      <c r="AJ134" s="11"/>
      <c r="AK134" s="11"/>
      <c r="AL134" s="11"/>
      <c r="AM134" s="11"/>
      <c r="AN134" s="11"/>
      <c r="AO134" s="11"/>
      <c r="AP134" s="11"/>
      <c r="AQ134" s="11">
        <v>35</v>
      </c>
      <c r="AR134" s="11"/>
      <c r="AS134" s="11"/>
      <c r="AT134" s="11"/>
      <c r="AU134" s="11"/>
      <c r="AV134" s="20" t="str">
        <f>HYPERLINK("http://www.openstreetmap.org/?mlat=34.1425&amp;mlon=44.3036&amp;zoom=12#map=12/34.1425/44.3036","Maplink1")</f>
        <v>Maplink1</v>
      </c>
      <c r="AW134" s="20" t="str">
        <f>HYPERLINK("https://www.google.iq/maps/search/+34.1425,44.3036/@34.1425,44.3036,14z?hl=en","Maplink2")</f>
        <v>Maplink2</v>
      </c>
      <c r="AX134" s="20" t="str">
        <f>HYPERLINK("http://www.bing.com/maps/?lvl=14&amp;sty=h&amp;cp=34.1425~44.3036&amp;sp=point.34.1425_44.3036_Al Safra al saghera village","Maplink3")</f>
        <v>Maplink3</v>
      </c>
    </row>
    <row r="135" spans="1:50" x14ac:dyDescent="0.25">
      <c r="A135" s="9">
        <v>11204</v>
      </c>
      <c r="B135" s="10" t="s">
        <v>13</v>
      </c>
      <c r="C135" s="10" t="s">
        <v>263</v>
      </c>
      <c r="D135" s="10" t="s">
        <v>289</v>
      </c>
      <c r="E135" s="10" t="s">
        <v>290</v>
      </c>
      <c r="F135" s="10">
        <v>34.2689076817</v>
      </c>
      <c r="G135" s="10">
        <v>44.5373975961</v>
      </c>
      <c r="H135" s="10" t="s">
        <v>265</v>
      </c>
      <c r="I135" s="10" t="s">
        <v>266</v>
      </c>
      <c r="J135" s="10" t="s">
        <v>291</v>
      </c>
      <c r="K135" s="11">
        <v>30</v>
      </c>
      <c r="L135" s="11">
        <v>180</v>
      </c>
      <c r="M135" s="11"/>
      <c r="N135" s="11"/>
      <c r="O135" s="11"/>
      <c r="P135" s="11"/>
      <c r="Q135" s="11"/>
      <c r="R135" s="11">
        <v>8</v>
      </c>
      <c r="S135" s="11"/>
      <c r="T135" s="11"/>
      <c r="U135" s="11">
        <v>20</v>
      </c>
      <c r="V135" s="11"/>
      <c r="W135" s="11"/>
      <c r="X135" s="11"/>
      <c r="Y135" s="11"/>
      <c r="Z135" s="11"/>
      <c r="AA135" s="11"/>
      <c r="AB135" s="11">
        <v>2</v>
      </c>
      <c r="AC135" s="11"/>
      <c r="AD135" s="11"/>
      <c r="AE135" s="11"/>
      <c r="AF135" s="11">
        <v>30</v>
      </c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30</v>
      </c>
      <c r="AR135" s="11"/>
      <c r="AS135" s="11"/>
      <c r="AT135" s="11"/>
      <c r="AU135" s="11"/>
      <c r="AV135" s="20" t="str">
        <f>HYPERLINK("http://www.openstreetmap.org/?mlat=34.2878&amp;mlon=44.5133&amp;zoom=12#map=12/34.2878/44.5133","Maplink1")</f>
        <v>Maplink1</v>
      </c>
      <c r="AW135" s="20" t="str">
        <f>HYPERLINK("https://www.google.iq/maps/search/+34.2878,44.5133/@34.2878,44.5133,14z?hl=en","Maplink2")</f>
        <v>Maplink2</v>
      </c>
      <c r="AX135" s="20" t="str">
        <f>HYPERLINK("http://www.bing.com/maps/?lvl=14&amp;sty=h&amp;cp=34.2878~44.5133&amp;sp=point.34.2878_44.5133","Maplink3")</f>
        <v>Maplink3</v>
      </c>
    </row>
    <row r="136" spans="1:50" x14ac:dyDescent="0.25">
      <c r="A136" s="9">
        <v>29562</v>
      </c>
      <c r="B136" s="10" t="s">
        <v>13</v>
      </c>
      <c r="C136" s="10" t="s">
        <v>263</v>
      </c>
      <c r="D136" s="10" t="s">
        <v>292</v>
      </c>
      <c r="E136" s="10" t="s">
        <v>293</v>
      </c>
      <c r="F136" s="10">
        <v>34.263737113200001</v>
      </c>
      <c r="G136" s="10">
        <v>44.531965591000002</v>
      </c>
      <c r="H136" s="10" t="s">
        <v>265</v>
      </c>
      <c r="I136" s="10" t="s">
        <v>266</v>
      </c>
      <c r="J136" s="10"/>
      <c r="K136" s="11">
        <v>15</v>
      </c>
      <c r="L136" s="11">
        <v>90</v>
      </c>
      <c r="M136" s="11"/>
      <c r="N136" s="11"/>
      <c r="O136" s="11"/>
      <c r="P136" s="11"/>
      <c r="Q136" s="11"/>
      <c r="R136" s="11">
        <v>15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>
        <v>15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>
        <v>15</v>
      </c>
      <c r="AR136" s="11"/>
      <c r="AS136" s="11"/>
      <c r="AT136" s="11"/>
      <c r="AU136" s="11"/>
      <c r="AV136" s="20" t="str">
        <f>HYPERLINK("http://www.openstreetmap.org/?mlat=34.2629&amp;mlon=44.5411&amp;zoom=12#map=12/34.2629/44.5411","Maplink1")</f>
        <v>Maplink1</v>
      </c>
      <c r="AW136" s="20" t="str">
        <f>HYPERLINK("https://www.google.iq/maps/search/+34.2629,44.5411/@34.2629,44.5411,14z?hl=en","Maplink2")</f>
        <v>Maplink2</v>
      </c>
      <c r="AX136" s="20" t="str">
        <f>HYPERLINK("http://www.bing.com/maps/?lvl=14&amp;sty=h&amp;cp=34.2629~44.5411&amp;sp=point.34.2629_44.5411","Maplink3")</f>
        <v>Maplink3</v>
      </c>
    </row>
    <row r="137" spans="1:50" x14ac:dyDescent="0.25">
      <c r="A137" s="9">
        <v>28463</v>
      </c>
      <c r="B137" s="10" t="s">
        <v>13</v>
      </c>
      <c r="C137" s="10" t="s">
        <v>263</v>
      </c>
      <c r="D137" s="10" t="s">
        <v>943</v>
      </c>
      <c r="E137" s="10" t="s">
        <v>294</v>
      </c>
      <c r="F137" s="10">
        <v>34.2456280273</v>
      </c>
      <c r="G137" s="10">
        <v>44.5161643864</v>
      </c>
      <c r="H137" s="10" t="s">
        <v>265</v>
      </c>
      <c r="I137" s="10" t="s">
        <v>266</v>
      </c>
      <c r="J137" s="10"/>
      <c r="K137" s="11">
        <v>63</v>
      </c>
      <c r="L137" s="11">
        <v>378</v>
      </c>
      <c r="M137" s="11"/>
      <c r="N137" s="11"/>
      <c r="O137" s="11"/>
      <c r="P137" s="11"/>
      <c r="Q137" s="11"/>
      <c r="R137" s="11">
        <v>63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>
        <v>63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>
        <v>63</v>
      </c>
      <c r="AR137" s="11"/>
      <c r="AS137" s="11"/>
      <c r="AT137" s="11"/>
      <c r="AU137" s="11"/>
      <c r="AV137" s="20" t="str">
        <f>HYPERLINK("http://www.openstreetmap.org/?mlat=34.1425&amp;mlon=44.3036&amp;zoom=12#map=12/34.1425/44.3036","Maplink1")</f>
        <v>Maplink1</v>
      </c>
      <c r="AW137" s="20" t="str">
        <f>HYPERLINK("https://www.google.iq/maps/search/+34.1425,44.3036/@34.1425,44.3036,14z?hl=en","Maplink2")</f>
        <v>Maplink2</v>
      </c>
      <c r="AX137" s="20" t="str">
        <f>HYPERLINK("http://www.bing.com/maps/?lvl=14&amp;sty=h&amp;cp=34.1425~44.3036&amp;sp=point.34.1425_44.3036_Al Angaa","Maplink3")</f>
        <v>Maplink3</v>
      </c>
    </row>
    <row r="138" spans="1:50" x14ac:dyDescent="0.25">
      <c r="A138" s="9">
        <v>28462</v>
      </c>
      <c r="B138" s="10" t="s">
        <v>13</v>
      </c>
      <c r="C138" s="10" t="s">
        <v>263</v>
      </c>
      <c r="D138" s="10" t="s">
        <v>944</v>
      </c>
      <c r="E138" s="10" t="s">
        <v>295</v>
      </c>
      <c r="F138" s="10">
        <v>34.235486335600001</v>
      </c>
      <c r="G138" s="10">
        <v>44.517580922900002</v>
      </c>
      <c r="H138" s="10" t="s">
        <v>265</v>
      </c>
      <c r="I138" s="10" t="s">
        <v>266</v>
      </c>
      <c r="J138" s="10"/>
      <c r="K138" s="11">
        <v>110</v>
      </c>
      <c r="L138" s="11">
        <v>660</v>
      </c>
      <c r="M138" s="11"/>
      <c r="N138" s="11"/>
      <c r="O138" s="11"/>
      <c r="P138" s="11"/>
      <c r="Q138" s="11"/>
      <c r="R138" s="11">
        <v>85</v>
      </c>
      <c r="S138" s="11"/>
      <c r="T138" s="11"/>
      <c r="U138" s="11">
        <v>25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>
        <v>110</v>
      </c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>
        <v>110</v>
      </c>
      <c r="AR138" s="11"/>
      <c r="AS138" s="11"/>
      <c r="AT138" s="11"/>
      <c r="AU138" s="11"/>
      <c r="AV138" s="20" t="str">
        <f>HYPERLINK("http://www.openstreetmap.org/?mlat=34.1424&amp;mlon=44.3035&amp;zoom=12#map=12/34.1424/44.3035","Maplink1")</f>
        <v>Maplink1</v>
      </c>
      <c r="AW138" s="20" t="str">
        <f>HYPERLINK("https://www.google.iq/maps/search/+34.1424,44.3035/@34.1424,44.3035,14z?hl=en","Maplink2")</f>
        <v>Maplink2</v>
      </c>
      <c r="AX138" s="20" t="str">
        <f>HYPERLINK("http://www.bing.com/maps/?lvl=14&amp;sty=h&amp;cp=34.1424~44.3035&amp;sp=point.34.1424_44.3035_Al Angaa","Maplink3")</f>
        <v>Maplink3</v>
      </c>
    </row>
    <row r="139" spans="1:50" x14ac:dyDescent="0.25">
      <c r="A139" s="9">
        <v>27178</v>
      </c>
      <c r="B139" s="10" t="s">
        <v>13</v>
      </c>
      <c r="C139" s="10" t="s">
        <v>263</v>
      </c>
      <c r="D139" s="10" t="s">
        <v>296</v>
      </c>
      <c r="E139" s="10" t="s">
        <v>297</v>
      </c>
      <c r="F139" s="10">
        <v>34.035578684100003</v>
      </c>
      <c r="G139" s="10">
        <v>44.323432609599998</v>
      </c>
      <c r="H139" s="10" t="s">
        <v>265</v>
      </c>
      <c r="I139" s="10" t="s">
        <v>266</v>
      </c>
      <c r="J139" s="10"/>
      <c r="K139" s="11">
        <v>30</v>
      </c>
      <c r="L139" s="11">
        <v>180</v>
      </c>
      <c r="M139" s="11"/>
      <c r="N139" s="11"/>
      <c r="O139" s="11"/>
      <c r="P139" s="11"/>
      <c r="Q139" s="11"/>
      <c r="R139" s="11"/>
      <c r="S139" s="11"/>
      <c r="T139" s="11"/>
      <c r="U139" s="11">
        <v>30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>
        <v>30</v>
      </c>
      <c r="AH139" s="11"/>
      <c r="AI139" s="11"/>
      <c r="AJ139" s="11"/>
      <c r="AK139" s="11"/>
      <c r="AL139" s="11"/>
      <c r="AM139" s="11"/>
      <c r="AN139" s="11"/>
      <c r="AO139" s="11"/>
      <c r="AP139" s="11"/>
      <c r="AQ139" s="11">
        <v>30</v>
      </c>
      <c r="AR139" s="11"/>
      <c r="AS139" s="11"/>
      <c r="AT139" s="11"/>
      <c r="AU139" s="11"/>
      <c r="AV139" s="20" t="str">
        <f>HYPERLINK("http://www.openstreetmap.org/?mlat=34.1425&amp;mlon=44.3036&amp;zoom=12#map=12/34.1425/44.3036","Maplink1")</f>
        <v>Maplink1</v>
      </c>
      <c r="AW139" s="20" t="str">
        <f>HYPERLINK("https://www.google.iq/maps/search/+34.1425,44.3036/@34.1425,44.3036,14z?hl=en","Maplink2")</f>
        <v>Maplink2</v>
      </c>
      <c r="AX139" s="20" t="str">
        <f>HYPERLINK("http://www.bing.com/maps/?lvl=14&amp;sty=h&amp;cp=34.1425~44.3036&amp;sp=point.34.1425_44.3036_Al Tholathi village","Maplink3")</f>
        <v>Maplink3</v>
      </c>
    </row>
    <row r="140" spans="1:50" x14ac:dyDescent="0.25">
      <c r="A140" s="9">
        <v>29563</v>
      </c>
      <c r="B140" s="10" t="s">
        <v>13</v>
      </c>
      <c r="C140" s="10" t="s">
        <v>263</v>
      </c>
      <c r="D140" s="10" t="s">
        <v>298</v>
      </c>
      <c r="E140" s="10" t="s">
        <v>299</v>
      </c>
      <c r="F140" s="10">
        <v>34.263275144600001</v>
      </c>
      <c r="G140" s="10">
        <v>44.531798455900002</v>
      </c>
      <c r="H140" s="10" t="s">
        <v>265</v>
      </c>
      <c r="I140" s="10" t="s">
        <v>266</v>
      </c>
      <c r="J140" s="10"/>
      <c r="K140" s="11">
        <v>20</v>
      </c>
      <c r="L140" s="11">
        <v>120</v>
      </c>
      <c r="M140" s="11"/>
      <c r="N140" s="11"/>
      <c r="O140" s="11"/>
      <c r="P140" s="11"/>
      <c r="Q140" s="11"/>
      <c r="R140" s="11">
        <v>20</v>
      </c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>
        <v>20</v>
      </c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>
        <v>20</v>
      </c>
      <c r="AR140" s="11"/>
      <c r="AS140" s="11"/>
      <c r="AT140" s="11"/>
      <c r="AU140" s="11"/>
      <c r="AV140" s="20" t="str">
        <f>HYPERLINK("http://www.openstreetmap.org/?mlat=34.1395&amp;mlon=44.3075&amp;zoom=12#map=12/34.1395/44.3075","Maplink1")</f>
        <v>Maplink1</v>
      </c>
      <c r="AW140" s="20" t="str">
        <f>HYPERLINK("https://www.google.iq/maps/search/+34.1395,44.3075/@34.1395,44.3075,14z?hl=en","Maplink2")</f>
        <v>Maplink2</v>
      </c>
      <c r="AX140" s="20" t="str">
        <f>HYPERLINK("http://www.bing.com/maps/?lvl=14&amp;sty=h&amp;cp=34.1395~44.3075&amp;sp=point.34.1395_44.3075","Maplink3")</f>
        <v>Maplink3</v>
      </c>
    </row>
    <row r="141" spans="1:50" x14ac:dyDescent="0.25">
      <c r="A141" s="9">
        <v>28467</v>
      </c>
      <c r="B141" s="10" t="s">
        <v>13</v>
      </c>
      <c r="C141" s="10" t="s">
        <v>263</v>
      </c>
      <c r="D141" s="10" t="s">
        <v>300</v>
      </c>
      <c r="E141" s="10" t="s">
        <v>301</v>
      </c>
      <c r="F141" s="10">
        <v>34.188099999999999</v>
      </c>
      <c r="G141" s="10">
        <v>44.496600000000001</v>
      </c>
      <c r="H141" s="10" t="s">
        <v>265</v>
      </c>
      <c r="I141" s="10" t="s">
        <v>266</v>
      </c>
      <c r="J141" s="10"/>
      <c r="K141" s="11">
        <v>75</v>
      </c>
      <c r="L141" s="11">
        <v>450</v>
      </c>
      <c r="M141" s="11"/>
      <c r="N141" s="11"/>
      <c r="O141" s="11"/>
      <c r="P141" s="11"/>
      <c r="Q141" s="11"/>
      <c r="R141" s="11">
        <v>70</v>
      </c>
      <c r="S141" s="11"/>
      <c r="T141" s="11"/>
      <c r="U141" s="11">
        <v>5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>
        <v>75</v>
      </c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>
        <v>75</v>
      </c>
      <c r="AR141" s="11"/>
      <c r="AS141" s="11"/>
      <c r="AT141" s="11"/>
      <c r="AU141" s="11"/>
      <c r="AV141" s="20" t="str">
        <f>HYPERLINK("http://www.openstreetmap.org/?mlat=34.1425&amp;mlon=44.3036&amp;zoom=12#map=12/34.1425/44.3036","Maplink1")</f>
        <v>Maplink1</v>
      </c>
      <c r="AW141" s="20" t="str">
        <f>HYPERLINK("https://www.google.iq/maps/search/+34.1425,44.3036/@34.1425,44.3036,14z?hl=en","Maplink2")</f>
        <v>Maplink2</v>
      </c>
      <c r="AX141" s="20" t="str">
        <f>HYPERLINK("http://www.bing.com/maps/?lvl=14&amp;sty=h&amp;cp=34.1425~44.3036&amp;sp=point.34.1425_44.3036_Al Angaa","Maplink3")</f>
        <v>Maplink3</v>
      </c>
    </row>
    <row r="142" spans="1:50" x14ac:dyDescent="0.25">
      <c r="A142" s="9">
        <v>25658</v>
      </c>
      <c r="B142" s="10" t="s">
        <v>13</v>
      </c>
      <c r="C142" s="10" t="s">
        <v>263</v>
      </c>
      <c r="D142" s="10" t="s">
        <v>302</v>
      </c>
      <c r="E142" s="10" t="s">
        <v>303</v>
      </c>
      <c r="F142" s="10">
        <v>34.0657928539</v>
      </c>
      <c r="G142" s="10">
        <v>44.870625911300003</v>
      </c>
      <c r="H142" s="10" t="s">
        <v>265</v>
      </c>
      <c r="I142" s="10" t="s">
        <v>266</v>
      </c>
      <c r="J142" s="10"/>
      <c r="K142" s="11">
        <v>180</v>
      </c>
      <c r="L142" s="11">
        <v>1080</v>
      </c>
      <c r="M142" s="11"/>
      <c r="N142" s="11"/>
      <c r="O142" s="11"/>
      <c r="P142" s="11"/>
      <c r="Q142" s="11"/>
      <c r="R142" s="11">
        <v>125</v>
      </c>
      <c r="S142" s="11"/>
      <c r="T142" s="11"/>
      <c r="U142" s="11">
        <v>25</v>
      </c>
      <c r="V142" s="11"/>
      <c r="W142" s="11"/>
      <c r="X142" s="11"/>
      <c r="Y142" s="11"/>
      <c r="Z142" s="11"/>
      <c r="AA142" s="11"/>
      <c r="AB142" s="11">
        <v>30</v>
      </c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>
        <v>180</v>
      </c>
      <c r="AO142" s="11"/>
      <c r="AP142" s="11"/>
      <c r="AQ142" s="11"/>
      <c r="AR142" s="11"/>
      <c r="AS142" s="11">
        <v>180</v>
      </c>
      <c r="AT142" s="11"/>
      <c r="AU142" s="11"/>
      <c r="AV142" s="20" t="str">
        <f>HYPERLINK("http://www.openstreetmap.org/?mlat=34.0664&amp;mlon=44.8692&amp;zoom=12#map=12/34.0664/44.8692","Maplink1")</f>
        <v>Maplink1</v>
      </c>
      <c r="AW142" s="20" t="str">
        <f>HYPERLINK("https://www.google.iq/maps/search/+34.0664,44.8692/@34.0664,44.8692,14z?hl=en","Maplink2")</f>
        <v>Maplink2</v>
      </c>
      <c r="AX142" s="20" t="str">
        <f>HYPERLINK("http://www.bing.com/maps/?lvl=14&amp;sty=h&amp;cp=34.0664~44.8692&amp;sp=point.34.0664_44.8692_Al-Aqssa village","Maplink3")</f>
        <v>Maplink3</v>
      </c>
    </row>
    <row r="143" spans="1:50" x14ac:dyDescent="0.25">
      <c r="A143" s="9">
        <v>25662</v>
      </c>
      <c r="B143" s="10" t="s">
        <v>13</v>
      </c>
      <c r="C143" s="10" t="s">
        <v>263</v>
      </c>
      <c r="D143" s="10" t="s">
        <v>304</v>
      </c>
      <c r="E143" s="10" t="s">
        <v>305</v>
      </c>
      <c r="F143" s="10">
        <v>34.078908398300001</v>
      </c>
      <c r="G143" s="10">
        <v>44.855921834199997</v>
      </c>
      <c r="H143" s="10" t="s">
        <v>265</v>
      </c>
      <c r="I143" s="10" t="s">
        <v>266</v>
      </c>
      <c r="J143" s="10"/>
      <c r="K143" s="11">
        <v>318</v>
      </c>
      <c r="L143" s="11">
        <v>1908</v>
      </c>
      <c r="M143" s="11"/>
      <c r="N143" s="11"/>
      <c r="O143" s="11"/>
      <c r="P143" s="11"/>
      <c r="Q143" s="11"/>
      <c r="R143" s="11">
        <v>230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1">
        <v>88</v>
      </c>
      <c r="AC143" s="11"/>
      <c r="AD143" s="11"/>
      <c r="AE143" s="11"/>
      <c r="AF143" s="11">
        <v>171</v>
      </c>
      <c r="AG143" s="11"/>
      <c r="AH143" s="11"/>
      <c r="AI143" s="11"/>
      <c r="AJ143" s="11"/>
      <c r="AK143" s="11"/>
      <c r="AL143" s="11"/>
      <c r="AM143" s="11"/>
      <c r="AN143" s="11">
        <v>147</v>
      </c>
      <c r="AO143" s="11"/>
      <c r="AP143" s="11"/>
      <c r="AQ143" s="11">
        <v>318</v>
      </c>
      <c r="AR143" s="11"/>
      <c r="AS143" s="11"/>
      <c r="AT143" s="11"/>
      <c r="AU143" s="11"/>
      <c r="AV143" s="20" t="str">
        <f>HYPERLINK("http://www.openstreetmap.org/?mlat=34.0726&amp;mlon=44.8882&amp;zoom=12#map=12/34.0726/44.8882","Maplink1")</f>
        <v>Maplink1</v>
      </c>
      <c r="AW143" s="20" t="str">
        <f>HYPERLINK("https://www.google.iq/maps/search/+34.0726,44.8882/@34.0726,44.8882,14z?hl=en","Maplink2")</f>
        <v>Maplink2</v>
      </c>
      <c r="AX143" s="20" t="str">
        <f>HYPERLINK("http://www.bing.com/maps/?lvl=14&amp;sty=h&amp;cp=34.0726~44.8882&amp;sp=point.34.0726_44.8882_Al-Arabdah Village","Maplink3")</f>
        <v>Maplink3</v>
      </c>
    </row>
    <row r="144" spans="1:50" x14ac:dyDescent="0.25">
      <c r="A144" s="9">
        <v>25671</v>
      </c>
      <c r="B144" s="10" t="s">
        <v>13</v>
      </c>
      <c r="C144" s="10" t="s">
        <v>263</v>
      </c>
      <c r="D144" s="10" t="s">
        <v>306</v>
      </c>
      <c r="E144" s="10" t="s">
        <v>307</v>
      </c>
      <c r="F144" s="10">
        <v>33.997503197500002</v>
      </c>
      <c r="G144" s="10">
        <v>44.841394013299997</v>
      </c>
      <c r="H144" s="10" t="s">
        <v>265</v>
      </c>
      <c r="I144" s="10" t="s">
        <v>266</v>
      </c>
      <c r="J144" s="10"/>
      <c r="K144" s="11">
        <v>192</v>
      </c>
      <c r="L144" s="11">
        <v>1152</v>
      </c>
      <c r="M144" s="11"/>
      <c r="N144" s="11"/>
      <c r="O144" s="11"/>
      <c r="P144" s="11"/>
      <c r="Q144" s="11"/>
      <c r="R144" s="11">
        <v>104</v>
      </c>
      <c r="S144" s="11"/>
      <c r="T144" s="11"/>
      <c r="U144" s="11">
        <v>38</v>
      </c>
      <c r="V144" s="11"/>
      <c r="W144" s="11"/>
      <c r="X144" s="11"/>
      <c r="Y144" s="11"/>
      <c r="Z144" s="11"/>
      <c r="AA144" s="11"/>
      <c r="AB144" s="11">
        <v>50</v>
      </c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>
        <v>192</v>
      </c>
      <c r="AO144" s="11"/>
      <c r="AP144" s="11"/>
      <c r="AQ144" s="11"/>
      <c r="AR144" s="11"/>
      <c r="AS144" s="11">
        <v>192</v>
      </c>
      <c r="AT144" s="11"/>
      <c r="AU144" s="11"/>
      <c r="AV144" s="20" t="str">
        <f>HYPERLINK("http://www.openstreetmap.org/?mlat=34.0541&amp;mlon=44.9044&amp;zoom=12#map=12/34.0541/44.9044","Maplink1")</f>
        <v>Maplink1</v>
      </c>
      <c r="AW144" s="20" t="str">
        <f>HYPERLINK("https://www.google.iq/maps/search/+34.0541,44.9044/@34.0541,44.9044,14z?hl=en","Maplink2")</f>
        <v>Maplink2</v>
      </c>
      <c r="AX144" s="20" t="str">
        <f>HYPERLINK("http://www.bing.com/maps/?lvl=14&amp;sty=h&amp;cp=34.0541~44.9044&amp;sp=point.34.0541_44.9044_Al-Bizayiz sheruin village","Maplink3")</f>
        <v>Maplink3</v>
      </c>
    </row>
    <row r="145" spans="1:50" x14ac:dyDescent="0.25">
      <c r="A145" s="9">
        <v>26075</v>
      </c>
      <c r="B145" s="10" t="s">
        <v>13</v>
      </c>
      <c r="C145" s="10" t="s">
        <v>263</v>
      </c>
      <c r="D145" s="10" t="s">
        <v>308</v>
      </c>
      <c r="E145" s="10" t="s">
        <v>309</v>
      </c>
      <c r="F145" s="10">
        <v>34.064443390900003</v>
      </c>
      <c r="G145" s="10">
        <v>44.896874122</v>
      </c>
      <c r="H145" s="10" t="s">
        <v>265</v>
      </c>
      <c r="I145" s="10" t="s">
        <v>266</v>
      </c>
      <c r="J145" s="10"/>
      <c r="K145" s="11">
        <v>200</v>
      </c>
      <c r="L145" s="11">
        <v>1200</v>
      </c>
      <c r="M145" s="11"/>
      <c r="N145" s="11"/>
      <c r="O145" s="11"/>
      <c r="P145" s="11"/>
      <c r="Q145" s="11"/>
      <c r="R145" s="11">
        <v>200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>
        <v>55</v>
      </c>
      <c r="AG145" s="11"/>
      <c r="AH145" s="11"/>
      <c r="AI145" s="11"/>
      <c r="AJ145" s="11"/>
      <c r="AK145" s="11"/>
      <c r="AL145" s="11"/>
      <c r="AM145" s="11"/>
      <c r="AN145" s="11">
        <v>145</v>
      </c>
      <c r="AO145" s="11"/>
      <c r="AP145" s="11"/>
      <c r="AQ145" s="11">
        <v>200</v>
      </c>
      <c r="AR145" s="11"/>
      <c r="AS145" s="11"/>
      <c r="AT145" s="11"/>
      <c r="AU145" s="11"/>
      <c r="AV145" s="20" t="str">
        <f>HYPERLINK("http://www.openstreetmap.org/?mlat=34.0672&amp;mlon=44.8989&amp;zoom=12#map=12/34.0672/44.8989","Maplink1")</f>
        <v>Maplink1</v>
      </c>
      <c r="AW145" s="20" t="str">
        <f>HYPERLINK("https://www.google.iq/maps/search/+34.0672,44.8989/@34.0672,44.8989,14z?hl=en","Maplink2")</f>
        <v>Maplink2</v>
      </c>
      <c r="AX145" s="20" t="str">
        <f>HYPERLINK("http://www.bing.com/maps/?lvl=14&amp;sty=h&amp;cp=34.0672~44.8989&amp;sp=point.34.0672_44.8989_Al-Dwaleeb village","Maplink3")</f>
        <v>Maplink3</v>
      </c>
    </row>
    <row r="146" spans="1:50" x14ac:dyDescent="0.25">
      <c r="A146" s="9">
        <v>25667</v>
      </c>
      <c r="B146" s="10" t="s">
        <v>13</v>
      </c>
      <c r="C146" s="10" t="s">
        <v>263</v>
      </c>
      <c r="D146" s="10" t="s">
        <v>310</v>
      </c>
      <c r="E146" s="10" t="s">
        <v>311</v>
      </c>
      <c r="F146" s="10">
        <v>34.078400000000002</v>
      </c>
      <c r="G146" s="10">
        <v>44.884599999999999</v>
      </c>
      <c r="H146" s="10" t="s">
        <v>265</v>
      </c>
      <c r="I146" s="10" t="s">
        <v>266</v>
      </c>
      <c r="J146" s="10"/>
      <c r="K146" s="11">
        <v>284</v>
      </c>
      <c r="L146" s="11">
        <v>1704</v>
      </c>
      <c r="M146" s="11"/>
      <c r="N146" s="11"/>
      <c r="O146" s="11"/>
      <c r="P146" s="11"/>
      <c r="Q146" s="11"/>
      <c r="R146" s="11">
        <v>234</v>
      </c>
      <c r="S146" s="11"/>
      <c r="T146" s="11"/>
      <c r="U146" s="11">
        <v>50</v>
      </c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>
        <v>155</v>
      </c>
      <c r="AG146" s="11"/>
      <c r="AH146" s="11"/>
      <c r="AI146" s="11"/>
      <c r="AJ146" s="11"/>
      <c r="AK146" s="11"/>
      <c r="AL146" s="11"/>
      <c r="AM146" s="11"/>
      <c r="AN146" s="11">
        <v>129</v>
      </c>
      <c r="AO146" s="11"/>
      <c r="AP146" s="11"/>
      <c r="AQ146" s="11">
        <v>284</v>
      </c>
      <c r="AR146" s="11"/>
      <c r="AS146" s="11"/>
      <c r="AT146" s="11"/>
      <c r="AU146" s="11"/>
      <c r="AV146" s="20" t="str">
        <f>HYPERLINK("http://www.openstreetmap.org/?mlat=34.0784&amp;mlon=44.8846&amp;zoom=12#map=12/34.0784/44.8846","Maplink1")</f>
        <v>Maplink1</v>
      </c>
      <c r="AW146" s="20" t="str">
        <f>HYPERLINK("https://www.google.iq/maps/search/+34.0784,44.8846/@34.0784,44.8846,14z?hl=en","Maplink2")</f>
        <v>Maplink2</v>
      </c>
      <c r="AX146" s="20" t="str">
        <f>HYPERLINK("http://www.bing.com/maps/?lvl=14&amp;sty=h&amp;cp=34.0784~44.8846&amp;sp=point.34.0784_44.8846_Al-Makareen Village","Maplink3")</f>
        <v>Maplink3</v>
      </c>
    </row>
    <row r="147" spans="1:50" x14ac:dyDescent="0.25">
      <c r="A147" s="9">
        <v>25806</v>
      </c>
      <c r="B147" s="10" t="s">
        <v>13</v>
      </c>
      <c r="C147" s="10" t="s">
        <v>263</v>
      </c>
      <c r="D147" s="10" t="s">
        <v>945</v>
      </c>
      <c r="E147" s="10" t="s">
        <v>396</v>
      </c>
      <c r="F147" s="10">
        <v>34.054877040900003</v>
      </c>
      <c r="G147" s="10">
        <v>44.886513567599998</v>
      </c>
      <c r="H147" s="10" t="s">
        <v>265</v>
      </c>
      <c r="I147" s="10" t="s">
        <v>266</v>
      </c>
      <c r="J147" s="10"/>
      <c r="K147" s="11">
        <v>15</v>
      </c>
      <c r="L147" s="11">
        <v>90</v>
      </c>
      <c r="M147" s="11"/>
      <c r="N147" s="11"/>
      <c r="O147" s="11"/>
      <c r="P147" s="11"/>
      <c r="Q147" s="11"/>
      <c r="R147" s="11">
        <v>15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>
        <v>15</v>
      </c>
      <c r="AO147" s="11"/>
      <c r="AP147" s="11"/>
      <c r="AQ147" s="11">
        <v>15</v>
      </c>
      <c r="AR147" s="11"/>
      <c r="AS147" s="11"/>
      <c r="AT147" s="11"/>
      <c r="AU147" s="11"/>
      <c r="AV147" s="20" t="str">
        <f>HYPERLINK("http://www.openstreetmap.org/?mlat=33.9894&amp;mlon=44.9225&amp;zoom=12#map=12/33.9894/44.9225","Maplink1")</f>
        <v>Maplink1</v>
      </c>
      <c r="AW147" s="20" t="str">
        <f>HYPERLINK("https://www.google.iq/maps/search/+33.9894,44.9225/@33.9894,44.9225,14z?hl=en","Maplink2")</f>
        <v>Maplink2</v>
      </c>
      <c r="AX147" s="20" t="str">
        <f>HYPERLINK("http://www.bing.com/maps/?lvl=14&amp;sty=h&amp;cp=33.9894~44.9225&amp;sp=point.33.9894_44.9225_Sherween","Maplink3")</f>
        <v>Maplink3</v>
      </c>
    </row>
    <row r="148" spans="1:50" x14ac:dyDescent="0.25">
      <c r="A148" s="9">
        <v>25665</v>
      </c>
      <c r="B148" s="10" t="s">
        <v>13</v>
      </c>
      <c r="C148" s="10" t="s">
        <v>263</v>
      </c>
      <c r="D148" s="10" t="s">
        <v>312</v>
      </c>
      <c r="E148" s="10" t="s">
        <v>313</v>
      </c>
      <c r="F148" s="10">
        <v>34.036864342599998</v>
      </c>
      <c r="G148" s="10">
        <v>44.7635042227</v>
      </c>
      <c r="H148" s="10" t="s">
        <v>265</v>
      </c>
      <c r="I148" s="10" t="s">
        <v>266</v>
      </c>
      <c r="J148" s="10"/>
      <c r="K148" s="11">
        <v>75</v>
      </c>
      <c r="L148" s="11">
        <v>450</v>
      </c>
      <c r="M148" s="11"/>
      <c r="N148" s="11"/>
      <c r="O148" s="11"/>
      <c r="P148" s="11"/>
      <c r="Q148" s="11"/>
      <c r="R148" s="11">
        <v>75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>
        <v>75</v>
      </c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>
        <v>75</v>
      </c>
      <c r="AR148" s="11"/>
      <c r="AS148" s="11"/>
      <c r="AT148" s="11"/>
      <c r="AU148" s="11"/>
      <c r="AV148" s="20" t="str">
        <f>HYPERLINK("http://www.openstreetmap.org/?mlat=34.0799&amp;mlon=44.8755&amp;zoom=12#map=12/34.0799/44.8755","Maplink1")</f>
        <v>Maplink1</v>
      </c>
      <c r="AW148" s="20" t="str">
        <f>HYPERLINK("https://www.google.iq/maps/search/+34.0799,44.8755/@34.0799,44.8755,14z?hl=en","Maplink2")</f>
        <v>Maplink2</v>
      </c>
      <c r="AX148" s="20" t="str">
        <f>HYPERLINK("http://www.bing.com/maps/?lvl=14&amp;sty=h&amp;cp=34.0799~44.8755&amp;sp=point.34.0799_44.8755_Al-Marfoo village","Maplink3")</f>
        <v>Maplink3</v>
      </c>
    </row>
    <row r="149" spans="1:50" x14ac:dyDescent="0.25">
      <c r="A149" s="9">
        <v>25666</v>
      </c>
      <c r="B149" s="10" t="s">
        <v>13</v>
      </c>
      <c r="C149" s="10" t="s">
        <v>263</v>
      </c>
      <c r="D149" s="10" t="s">
        <v>314</v>
      </c>
      <c r="E149" s="10" t="s">
        <v>315</v>
      </c>
      <c r="F149" s="10">
        <v>34.084400000000002</v>
      </c>
      <c r="G149" s="10">
        <v>44.841500000000003</v>
      </c>
      <c r="H149" s="10" t="s">
        <v>265</v>
      </c>
      <c r="I149" s="10" t="s">
        <v>266</v>
      </c>
      <c r="J149" s="10"/>
      <c r="K149" s="11">
        <v>72</v>
      </c>
      <c r="L149" s="11">
        <v>432</v>
      </c>
      <c r="M149" s="11"/>
      <c r="N149" s="11"/>
      <c r="O149" s="11"/>
      <c r="P149" s="11"/>
      <c r="Q149" s="11"/>
      <c r="R149" s="11">
        <v>72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>
        <v>72</v>
      </c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>
        <v>72</v>
      </c>
      <c r="AT149" s="11"/>
      <c r="AU149" s="11"/>
      <c r="AV149" s="20" t="str">
        <f>HYPERLINK("http://www.openstreetmap.org/?mlat=34.0844&amp;mlon=44.8415&amp;zoom=12#map=12/34.0844/44.8415","Maplink1")</f>
        <v>Maplink1</v>
      </c>
      <c r="AW149" s="20" t="str">
        <f>HYPERLINK("https://www.google.iq/maps/search/+34.0844,44.8415/@34.0844,44.8415,14z?hl=en","Maplink2")</f>
        <v>Maplink2</v>
      </c>
      <c r="AX149" s="20" t="str">
        <f>HYPERLINK("http://www.bing.com/maps/?lvl=14&amp;sty=h&amp;cp=34.0844~44.8415&amp;sp=point.34.0844_44.8415_Al-Mashroo Village","Maplink3")</f>
        <v>Maplink3</v>
      </c>
    </row>
    <row r="150" spans="1:50" x14ac:dyDescent="0.25">
      <c r="A150" s="9">
        <v>25661</v>
      </c>
      <c r="B150" s="10" t="s">
        <v>13</v>
      </c>
      <c r="C150" s="10" t="s">
        <v>263</v>
      </c>
      <c r="D150" s="10" t="s">
        <v>316</v>
      </c>
      <c r="E150" s="10" t="s">
        <v>317</v>
      </c>
      <c r="F150" s="10">
        <v>34.084899999999998</v>
      </c>
      <c r="G150" s="10">
        <v>44.918300000000002</v>
      </c>
      <c r="H150" s="10" t="s">
        <v>265</v>
      </c>
      <c r="I150" s="10" t="s">
        <v>266</v>
      </c>
      <c r="J150" s="10"/>
      <c r="K150" s="11">
        <v>230</v>
      </c>
      <c r="L150" s="11">
        <v>1380</v>
      </c>
      <c r="M150" s="11"/>
      <c r="N150" s="11"/>
      <c r="O150" s="11"/>
      <c r="P150" s="11"/>
      <c r="Q150" s="11"/>
      <c r="R150" s="11">
        <v>230</v>
      </c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>
        <v>90</v>
      </c>
      <c r="AG150" s="11"/>
      <c r="AH150" s="11"/>
      <c r="AI150" s="11"/>
      <c r="AJ150" s="11"/>
      <c r="AK150" s="11"/>
      <c r="AL150" s="11"/>
      <c r="AM150" s="11"/>
      <c r="AN150" s="11">
        <v>140</v>
      </c>
      <c r="AO150" s="11"/>
      <c r="AP150" s="11"/>
      <c r="AQ150" s="11"/>
      <c r="AR150" s="11"/>
      <c r="AS150" s="11">
        <v>230</v>
      </c>
      <c r="AT150" s="11"/>
      <c r="AU150" s="11"/>
      <c r="AV150" s="20" t="str">
        <f>HYPERLINK("http://www.openstreetmap.org/?mlat=34.0849&amp;mlon=44.9183&amp;zoom=12#map=12/34.0849/44.9183","Maplink1")</f>
        <v>Maplink1</v>
      </c>
      <c r="AW150" s="20" t="str">
        <f>HYPERLINK("https://www.google.iq/maps/search/+34.0849,44.9183/@34.0849,44.9183,14z?hl=en","Maplink2")</f>
        <v>Maplink2</v>
      </c>
      <c r="AX150" s="20" t="str">
        <f>HYPERLINK("http://www.bing.com/maps/?lvl=14&amp;sty=h&amp;cp=34.0849~44.9183&amp;sp=point.34.0849_44.9183_Al-Sadah Village","Maplink3")</f>
        <v>Maplink3</v>
      </c>
    </row>
    <row r="151" spans="1:50" x14ac:dyDescent="0.25">
      <c r="A151" s="9">
        <v>25919</v>
      </c>
      <c r="B151" s="10" t="s">
        <v>13</v>
      </c>
      <c r="C151" s="10" t="s">
        <v>263</v>
      </c>
      <c r="D151" s="10" t="s">
        <v>946</v>
      </c>
      <c r="E151" s="10" t="s">
        <v>372</v>
      </c>
      <c r="F151" s="10">
        <v>34.073700000000002</v>
      </c>
      <c r="G151" s="10">
        <v>44.961300000000001</v>
      </c>
      <c r="H151" s="10" t="s">
        <v>265</v>
      </c>
      <c r="I151" s="10" t="s">
        <v>266</v>
      </c>
      <c r="J151" s="10"/>
      <c r="K151" s="11">
        <v>271</v>
      </c>
      <c r="L151" s="11">
        <v>1626</v>
      </c>
      <c r="M151" s="11"/>
      <c r="N151" s="11"/>
      <c r="O151" s="11"/>
      <c r="P151" s="11"/>
      <c r="Q151" s="11"/>
      <c r="R151" s="11">
        <v>244</v>
      </c>
      <c r="S151" s="11"/>
      <c r="T151" s="11"/>
      <c r="U151" s="11">
        <v>17</v>
      </c>
      <c r="V151" s="11"/>
      <c r="W151" s="11"/>
      <c r="X151" s="11"/>
      <c r="Y151" s="11"/>
      <c r="Z151" s="11"/>
      <c r="AA151" s="11"/>
      <c r="AB151" s="11">
        <v>10</v>
      </c>
      <c r="AC151" s="11"/>
      <c r="AD151" s="11"/>
      <c r="AE151" s="11"/>
      <c r="AF151" s="11">
        <v>271</v>
      </c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>
        <v>271</v>
      </c>
      <c r="AR151" s="11"/>
      <c r="AS151" s="11"/>
      <c r="AT151" s="11"/>
      <c r="AU151" s="11"/>
      <c r="AV151" s="20" t="str">
        <f>HYPERLINK("http://www.openstreetmap.org/?mlat=34.0667&amp;mlon=44.8596&amp;zoom=12#map=12/34.0667/44.8596","Maplink1")</f>
        <v>Maplink1</v>
      </c>
      <c r="AW151" s="20" t="str">
        <f>HYPERLINK("https://www.google.iq/maps/search/+34.0667,44.8596/@34.0667,44.8596,14z?hl=en","Maplink2")</f>
        <v>Maplink2</v>
      </c>
      <c r="AX151" s="20" t="str">
        <f>HYPERLINK("http://www.bing.com/maps/?lvl=14&amp;sty=h&amp;cp=34.0667~44.8596&amp;sp=point.34.0667_44.8596_Hay Al-shuhada a","Maplink3")</f>
        <v>Maplink3</v>
      </c>
    </row>
    <row r="152" spans="1:50" x14ac:dyDescent="0.25">
      <c r="A152" s="9">
        <v>29576</v>
      </c>
      <c r="B152" s="10" t="s">
        <v>13</v>
      </c>
      <c r="C152" s="10" t="s">
        <v>263</v>
      </c>
      <c r="D152" s="10" t="s">
        <v>1086</v>
      </c>
      <c r="E152" s="10" t="s">
        <v>1087</v>
      </c>
      <c r="F152" s="10">
        <v>34.360770243799998</v>
      </c>
      <c r="G152" s="10">
        <v>44.557405068500003</v>
      </c>
      <c r="H152" s="10" t="s">
        <v>265</v>
      </c>
      <c r="I152" s="10" t="s">
        <v>266</v>
      </c>
      <c r="J152" s="10"/>
      <c r="K152" s="11">
        <v>145</v>
      </c>
      <c r="L152" s="11">
        <v>870</v>
      </c>
      <c r="M152" s="11"/>
      <c r="N152" s="11"/>
      <c r="O152" s="11"/>
      <c r="P152" s="11"/>
      <c r="Q152" s="11"/>
      <c r="R152" s="11"/>
      <c r="S152" s="11">
        <v>15</v>
      </c>
      <c r="T152" s="11"/>
      <c r="U152" s="11">
        <v>105</v>
      </c>
      <c r="V152" s="11"/>
      <c r="W152" s="11"/>
      <c r="X152" s="11"/>
      <c r="Y152" s="11"/>
      <c r="Z152" s="11"/>
      <c r="AA152" s="11"/>
      <c r="AB152" s="11">
        <v>25</v>
      </c>
      <c r="AC152" s="11"/>
      <c r="AD152" s="11"/>
      <c r="AE152" s="11"/>
      <c r="AF152" s="11">
        <v>145</v>
      </c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>
        <v>145</v>
      </c>
      <c r="AR152" s="11"/>
      <c r="AS152" s="11"/>
      <c r="AT152" s="11"/>
      <c r="AU152" s="11"/>
      <c r="AV152" s="20" t="str">
        <f>HYPERLINK("http://www.openstreetmap.org/?mlat=34.2549&amp;mlon=44.5087&amp;zoom=12#map=12/34.2549/44.5087","Maplink1")</f>
        <v>Maplink1</v>
      </c>
      <c r="AW152" s="20" t="str">
        <f>HYPERLINK("https://www.google.iq/maps/search/+34.2549,44.5087/@34.2549,44.5087,14z?hl=en","Maplink2")</f>
        <v>Maplink2</v>
      </c>
      <c r="AX152" s="20" t="str">
        <f>HYPERLINK("http://www.bing.com/maps/?lvl=14&amp;sty=h&amp;cp=34.2549~44.5087&amp;sp=point.34.2549_44.5087","Maplink3")</f>
        <v>Maplink3</v>
      </c>
    </row>
    <row r="153" spans="1:50" x14ac:dyDescent="0.25">
      <c r="A153" s="9">
        <v>27163</v>
      </c>
      <c r="B153" s="10" t="s">
        <v>13</v>
      </c>
      <c r="C153" s="10" t="s">
        <v>263</v>
      </c>
      <c r="D153" s="10" t="s">
        <v>318</v>
      </c>
      <c r="E153" s="10" t="s">
        <v>319</v>
      </c>
      <c r="F153" s="10">
        <v>34.364341939500001</v>
      </c>
      <c r="G153" s="10">
        <v>44.631110964699999</v>
      </c>
      <c r="H153" s="10" t="s">
        <v>265</v>
      </c>
      <c r="I153" s="10" t="s">
        <v>266</v>
      </c>
      <c r="J153" s="10"/>
      <c r="K153" s="11">
        <v>8</v>
      </c>
      <c r="L153" s="11">
        <v>48</v>
      </c>
      <c r="M153" s="11"/>
      <c r="N153" s="11"/>
      <c r="O153" s="11"/>
      <c r="P153" s="11"/>
      <c r="Q153" s="11"/>
      <c r="R153" s="11"/>
      <c r="S153" s="11"/>
      <c r="T153" s="11"/>
      <c r="U153" s="11">
        <v>8</v>
      </c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>
        <v>8</v>
      </c>
      <c r="AH153" s="11"/>
      <c r="AI153" s="11"/>
      <c r="AJ153" s="11"/>
      <c r="AK153" s="11"/>
      <c r="AL153" s="11"/>
      <c r="AM153" s="11"/>
      <c r="AN153" s="11"/>
      <c r="AO153" s="11"/>
      <c r="AP153" s="11"/>
      <c r="AQ153" s="11">
        <v>8</v>
      </c>
      <c r="AR153" s="11"/>
      <c r="AS153" s="11"/>
      <c r="AT153" s="11"/>
      <c r="AU153" s="11"/>
      <c r="AV153" s="20" t="str">
        <f>HYPERLINK("http://www.openstreetmap.org/?mlat=34.1425&amp;mlon=44.3036&amp;zoom=12#map=12/34.1425/44.3036","Maplink1")</f>
        <v>Maplink1</v>
      </c>
      <c r="AW153" s="20" t="str">
        <f>HYPERLINK("https://www.google.iq/maps/search/+34.1425,44.3036/@34.1425,44.3036,14z?hl=en","Maplink2")</f>
        <v>Maplink2</v>
      </c>
      <c r="AX153" s="20" t="str">
        <f>HYPERLINK("http://www.bing.com/maps/?lvl=14&amp;sty=h&amp;cp=34.1425~44.3036&amp;sp=point.34.1425_44.3036_Albo Elaywi village","Maplink3")</f>
        <v>Maplink3</v>
      </c>
    </row>
    <row r="154" spans="1:50" x14ac:dyDescent="0.25">
      <c r="A154" s="9">
        <v>27173</v>
      </c>
      <c r="B154" s="10" t="s">
        <v>13</v>
      </c>
      <c r="C154" s="10" t="s">
        <v>263</v>
      </c>
      <c r="D154" s="10" t="s">
        <v>320</v>
      </c>
      <c r="E154" s="10" t="s">
        <v>321</v>
      </c>
      <c r="F154" s="10">
        <v>34.212885186400001</v>
      </c>
      <c r="G154" s="10">
        <v>44.508423904300003</v>
      </c>
      <c r="H154" s="10" t="s">
        <v>265</v>
      </c>
      <c r="I154" s="10" t="s">
        <v>266</v>
      </c>
      <c r="J154" s="10"/>
      <c r="K154" s="11">
        <v>13</v>
      </c>
      <c r="L154" s="11">
        <v>78</v>
      </c>
      <c r="M154" s="11"/>
      <c r="N154" s="11"/>
      <c r="O154" s="11"/>
      <c r="P154" s="11"/>
      <c r="Q154" s="11"/>
      <c r="R154" s="11"/>
      <c r="S154" s="11"/>
      <c r="T154" s="11"/>
      <c r="U154" s="11">
        <v>13</v>
      </c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>
        <v>13</v>
      </c>
      <c r="AH154" s="11"/>
      <c r="AI154" s="11"/>
      <c r="AJ154" s="11"/>
      <c r="AK154" s="11"/>
      <c r="AL154" s="11"/>
      <c r="AM154" s="11"/>
      <c r="AN154" s="11"/>
      <c r="AO154" s="11"/>
      <c r="AP154" s="11"/>
      <c r="AQ154" s="11">
        <v>13</v>
      </c>
      <c r="AR154" s="11"/>
      <c r="AS154" s="11"/>
      <c r="AT154" s="11"/>
      <c r="AU154" s="11"/>
      <c r="AV154" s="20" t="str">
        <f>HYPERLINK("http://www.openstreetmap.org/?mlat=34.1425&amp;mlon=44.3036&amp;zoom=12#map=12/34.1425/44.3036","Maplink1")</f>
        <v>Maplink1</v>
      </c>
      <c r="AW154" s="20" t="str">
        <f>HYPERLINK("https://www.google.iq/maps/search/+34.1425,44.3036/@34.1425,44.3036,14z?hl=en","Maplink2")</f>
        <v>Maplink2</v>
      </c>
      <c r="AX154" s="20" t="str">
        <f>HYPERLINK("http://www.bing.com/maps/?lvl=14&amp;sty=h&amp;cp=34.1425~44.3036&amp;sp=point.34.1425_44.3036_Albo Hassoni village","Maplink3")</f>
        <v>Maplink3</v>
      </c>
    </row>
    <row r="155" spans="1:50" x14ac:dyDescent="0.25">
      <c r="A155" s="9">
        <v>27164</v>
      </c>
      <c r="B155" s="10" t="s">
        <v>13</v>
      </c>
      <c r="C155" s="10" t="s">
        <v>263</v>
      </c>
      <c r="D155" s="10" t="s">
        <v>322</v>
      </c>
      <c r="E155" s="10" t="s">
        <v>323</v>
      </c>
      <c r="F155" s="10">
        <v>34.3364537908</v>
      </c>
      <c r="G155" s="10">
        <v>44.6387005845</v>
      </c>
      <c r="H155" s="10" t="s">
        <v>265</v>
      </c>
      <c r="I155" s="10" t="s">
        <v>266</v>
      </c>
      <c r="J155" s="10"/>
      <c r="K155" s="11">
        <v>10</v>
      </c>
      <c r="L155" s="11">
        <v>60</v>
      </c>
      <c r="M155" s="11"/>
      <c r="N155" s="11"/>
      <c r="O155" s="11"/>
      <c r="P155" s="11"/>
      <c r="Q155" s="11"/>
      <c r="R155" s="11"/>
      <c r="S155" s="11"/>
      <c r="T155" s="11"/>
      <c r="U155" s="11">
        <v>10</v>
      </c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>
        <v>10</v>
      </c>
      <c r="AH155" s="11"/>
      <c r="AI155" s="11"/>
      <c r="AJ155" s="11"/>
      <c r="AK155" s="11"/>
      <c r="AL155" s="11"/>
      <c r="AM155" s="11"/>
      <c r="AN155" s="11"/>
      <c r="AO155" s="11"/>
      <c r="AP155" s="11"/>
      <c r="AQ155" s="11">
        <v>10</v>
      </c>
      <c r="AR155" s="11"/>
      <c r="AS155" s="11"/>
      <c r="AT155" s="11"/>
      <c r="AU155" s="11"/>
      <c r="AV155" s="20" t="str">
        <f>HYPERLINK("http://www.openstreetmap.org/?mlat=34.1425&amp;mlon=44.3036&amp;zoom=12#map=12/34.1425/44.3036","Maplink1")</f>
        <v>Maplink1</v>
      </c>
      <c r="AW155" s="20" t="str">
        <f>HYPERLINK("https://www.google.iq/maps/search/+34.1425,44.3036/@34.1425,44.3036,14z?hl=en","Maplink2")</f>
        <v>Maplink2</v>
      </c>
      <c r="AX155" s="20" t="str">
        <f>HYPERLINK("http://www.bing.com/maps/?lvl=14&amp;sty=h&amp;cp=34.1425~44.3036&amp;sp=point.34.1425_44.3036_Albo Ibada village","Maplink3")</f>
        <v>Maplink3</v>
      </c>
    </row>
    <row r="156" spans="1:50" x14ac:dyDescent="0.25">
      <c r="A156" s="9">
        <v>27172</v>
      </c>
      <c r="B156" s="10" t="s">
        <v>13</v>
      </c>
      <c r="C156" s="10" t="s">
        <v>263</v>
      </c>
      <c r="D156" s="10" t="s">
        <v>947</v>
      </c>
      <c r="E156" s="10" t="s">
        <v>1169</v>
      </c>
      <c r="F156" s="10">
        <v>34.093143752099998</v>
      </c>
      <c r="G156" s="10">
        <v>44.419593386199999</v>
      </c>
      <c r="H156" s="10" t="s">
        <v>265</v>
      </c>
      <c r="I156" s="10" t="s">
        <v>266</v>
      </c>
      <c r="J156" s="10"/>
      <c r="K156" s="11">
        <v>15</v>
      </c>
      <c r="L156" s="11">
        <v>90</v>
      </c>
      <c r="M156" s="11"/>
      <c r="N156" s="11"/>
      <c r="O156" s="11"/>
      <c r="P156" s="11"/>
      <c r="Q156" s="11"/>
      <c r="R156" s="11"/>
      <c r="S156" s="11"/>
      <c r="T156" s="11"/>
      <c r="U156" s="11">
        <v>15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>
        <v>15</v>
      </c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15</v>
      </c>
      <c r="AR156" s="11"/>
      <c r="AS156" s="11"/>
      <c r="AT156" s="11"/>
      <c r="AU156" s="11"/>
      <c r="AV156" s="20" t="str">
        <f>HYPERLINK("http://www.openstreetmap.org/?mlat=34.1425&amp;mlon=44.3036&amp;zoom=12#map=12/34.1425/44.3036","Maplink1")</f>
        <v>Maplink1</v>
      </c>
      <c r="AW156" s="20" t="str">
        <f>HYPERLINK("https://www.google.iq/maps/search/+34.1425,44.3036/@34.1425,44.3036,14z?hl=en","Maplink2")</f>
        <v>Maplink2</v>
      </c>
      <c r="AX156" s="20" t="str">
        <f>HYPERLINK("http://www.bing.com/maps/?lvl=14&amp;sty=h&amp;cp=34.1425~44.3036&amp;sp=point.34.1425_44.3036_Albo mandal village","Maplink3")</f>
        <v>Maplink3</v>
      </c>
    </row>
    <row r="157" spans="1:50" x14ac:dyDescent="0.25">
      <c r="A157" s="9">
        <v>28466</v>
      </c>
      <c r="B157" s="10" t="s">
        <v>13</v>
      </c>
      <c r="C157" s="10" t="s">
        <v>263</v>
      </c>
      <c r="D157" s="10" t="s">
        <v>324</v>
      </c>
      <c r="E157" s="10" t="s">
        <v>325</v>
      </c>
      <c r="F157" s="10">
        <v>34.176699999999997</v>
      </c>
      <c r="G157" s="10">
        <v>44.502299999999998</v>
      </c>
      <c r="H157" s="10" t="s">
        <v>265</v>
      </c>
      <c r="I157" s="10" t="s">
        <v>266</v>
      </c>
      <c r="J157" s="10"/>
      <c r="K157" s="11">
        <v>22</v>
      </c>
      <c r="L157" s="11">
        <v>132</v>
      </c>
      <c r="M157" s="11"/>
      <c r="N157" s="11"/>
      <c r="O157" s="11"/>
      <c r="P157" s="11"/>
      <c r="Q157" s="11"/>
      <c r="R157" s="11">
        <v>22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>
        <v>22</v>
      </c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>
        <v>22</v>
      </c>
      <c r="AR157" s="11"/>
      <c r="AS157" s="11"/>
      <c r="AT157" s="11"/>
      <c r="AU157" s="11"/>
      <c r="AV157" s="20" t="str">
        <f>HYPERLINK("http://www.openstreetmap.org/?mlat=34.1425&amp;mlon=44.3036&amp;zoom=12#map=12/34.1425/44.3036","Maplink1")</f>
        <v>Maplink1</v>
      </c>
      <c r="AW157" s="20" t="str">
        <f>HYPERLINK("https://www.google.iq/maps/search/+34.1425,44.3036/@34.1425,44.3036,14z?hl=en","Maplink2")</f>
        <v>Maplink2</v>
      </c>
      <c r="AX157" s="20" t="str">
        <f>HYPERLINK("http://www.bing.com/maps/?lvl=14&amp;sty=h&amp;cp=34.1425~44.3036&amp;sp=point.34.1425_44.3036_Al Angaa","Maplink3")</f>
        <v>Maplink3</v>
      </c>
    </row>
    <row r="158" spans="1:50" x14ac:dyDescent="0.25">
      <c r="A158" s="9">
        <v>28468</v>
      </c>
      <c r="B158" s="10" t="s">
        <v>13</v>
      </c>
      <c r="C158" s="10" t="s">
        <v>263</v>
      </c>
      <c r="D158" s="10" t="s">
        <v>948</v>
      </c>
      <c r="E158" s="10" t="s">
        <v>326</v>
      </c>
      <c r="F158" s="10">
        <v>34.203699999999998</v>
      </c>
      <c r="G158" s="10">
        <v>44.490699999999997</v>
      </c>
      <c r="H158" s="10" t="s">
        <v>265</v>
      </c>
      <c r="I158" s="10" t="s">
        <v>266</v>
      </c>
      <c r="J158" s="10"/>
      <c r="K158" s="11">
        <v>31</v>
      </c>
      <c r="L158" s="11">
        <v>186</v>
      </c>
      <c r="M158" s="11"/>
      <c r="N158" s="11"/>
      <c r="O158" s="11"/>
      <c r="P158" s="11"/>
      <c r="Q158" s="11"/>
      <c r="R158" s="11">
        <v>31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>
        <v>31</v>
      </c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>
        <v>31</v>
      </c>
      <c r="AR158" s="11"/>
      <c r="AS158" s="11"/>
      <c r="AT158" s="11"/>
      <c r="AU158" s="11"/>
      <c r="AV158" s="20" t="str">
        <f>HYPERLINK("http://www.openstreetmap.org/?mlat=34.1425&amp;mlon=44.3036&amp;zoom=12#map=12/34.1425/44.3036","Maplink1")</f>
        <v>Maplink1</v>
      </c>
      <c r="AW158" s="20" t="str">
        <f>HYPERLINK("https://www.google.iq/maps/search/+34.1425,44.3036/@34.1425,44.3036,14z?hl=en","Maplink2")</f>
        <v>Maplink2</v>
      </c>
      <c r="AX158" s="20" t="str">
        <f>HYPERLINK("http://www.bing.com/maps/?lvl=14&amp;sty=h&amp;cp=34.1425~44.3036&amp;sp=point.34.1425_44.3036_Al Angaa","Maplink3")</f>
        <v>Maplink3</v>
      </c>
    </row>
    <row r="159" spans="1:50" x14ac:dyDescent="0.25">
      <c r="A159" s="9">
        <v>28464</v>
      </c>
      <c r="B159" s="10" t="s">
        <v>13</v>
      </c>
      <c r="C159" s="10" t="s">
        <v>263</v>
      </c>
      <c r="D159" s="10" t="s">
        <v>327</v>
      </c>
      <c r="E159" s="10" t="s">
        <v>328</v>
      </c>
      <c r="F159" s="10">
        <v>34.192900000000002</v>
      </c>
      <c r="G159" s="10">
        <v>44.529699999999998</v>
      </c>
      <c r="H159" s="10" t="s">
        <v>265</v>
      </c>
      <c r="I159" s="10" t="s">
        <v>266</v>
      </c>
      <c r="J159" s="10"/>
      <c r="K159" s="11">
        <v>38</v>
      </c>
      <c r="L159" s="11">
        <v>228</v>
      </c>
      <c r="M159" s="11"/>
      <c r="N159" s="11"/>
      <c r="O159" s="11"/>
      <c r="P159" s="11"/>
      <c r="Q159" s="11"/>
      <c r="R159" s="11">
        <v>38</v>
      </c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>
        <v>38</v>
      </c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>
        <v>38</v>
      </c>
      <c r="AR159" s="11"/>
      <c r="AS159" s="11"/>
      <c r="AT159" s="11"/>
      <c r="AU159" s="11"/>
      <c r="AV159" s="20" t="str">
        <f>HYPERLINK("http://www.openstreetmap.org/?mlat=34.1425&amp;mlon=44.3036&amp;zoom=12#map=12/34.1425/44.3036","Maplink1")</f>
        <v>Maplink1</v>
      </c>
      <c r="AW159" s="20" t="str">
        <f>HYPERLINK("https://www.google.iq/maps/search/+34.1425,44.3036/@34.1425,44.3036,14z?hl=en","Maplink2")</f>
        <v>Maplink2</v>
      </c>
      <c r="AX159" s="20" t="str">
        <f>HYPERLINK("http://www.bing.com/maps/?lvl=14&amp;sty=h&amp;cp=34.1425~44.3036&amp;sp=point.34.1425_44.3036_Al Angaa","Maplink3")</f>
        <v>Maplink3</v>
      </c>
    </row>
    <row r="160" spans="1:50" x14ac:dyDescent="0.25">
      <c r="A160" s="9">
        <v>27174</v>
      </c>
      <c r="B160" s="10" t="s">
        <v>13</v>
      </c>
      <c r="C160" s="10" t="s">
        <v>263</v>
      </c>
      <c r="D160" s="10" t="s">
        <v>329</v>
      </c>
      <c r="E160" s="10" t="s">
        <v>330</v>
      </c>
      <c r="F160" s="10">
        <v>34.040211944699998</v>
      </c>
      <c r="G160" s="10">
        <v>44.371946553199997</v>
      </c>
      <c r="H160" s="10" t="s">
        <v>265</v>
      </c>
      <c r="I160" s="10" t="s">
        <v>266</v>
      </c>
      <c r="J160" s="10"/>
      <c r="K160" s="11">
        <v>140</v>
      </c>
      <c r="L160" s="11">
        <v>840</v>
      </c>
      <c r="M160" s="11"/>
      <c r="N160" s="11"/>
      <c r="O160" s="11"/>
      <c r="P160" s="11"/>
      <c r="Q160" s="11"/>
      <c r="R160" s="11"/>
      <c r="S160" s="11"/>
      <c r="T160" s="11"/>
      <c r="U160" s="11">
        <v>140</v>
      </c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>
        <v>140</v>
      </c>
      <c r="AH160" s="11"/>
      <c r="AI160" s="11"/>
      <c r="AJ160" s="11"/>
      <c r="AK160" s="11"/>
      <c r="AL160" s="11"/>
      <c r="AM160" s="11"/>
      <c r="AN160" s="11"/>
      <c r="AO160" s="11"/>
      <c r="AP160" s="11"/>
      <c r="AQ160" s="11">
        <v>140</v>
      </c>
      <c r="AR160" s="11"/>
      <c r="AS160" s="11"/>
      <c r="AT160" s="11"/>
      <c r="AU160" s="11"/>
      <c r="AV160" s="20" t="str">
        <f>HYPERLINK("http://www.openstreetmap.org/?mlat=34.1425&amp;mlon=44.3036&amp;zoom=12#map=12/34.1425/44.3036","Maplink1")</f>
        <v>Maplink1</v>
      </c>
      <c r="AW160" s="20" t="str">
        <f>HYPERLINK("https://www.google.iq/maps/search/+34.1425,44.3036/@34.1425,44.3036,14z?hl=en","Maplink2")</f>
        <v>Maplink2</v>
      </c>
      <c r="AX160" s="20" t="str">
        <f>HYPERLINK("http://www.bing.com/maps/?lvl=14&amp;sty=h&amp;cp=34.1425~44.3036&amp;sp=point.34.1425_44.3036_Albo Shmays village","Maplink3")</f>
        <v>Maplink3</v>
      </c>
    </row>
    <row r="161" spans="1:50" x14ac:dyDescent="0.25">
      <c r="A161" s="9">
        <v>27183</v>
      </c>
      <c r="B161" s="10" t="s">
        <v>13</v>
      </c>
      <c r="C161" s="10" t="s">
        <v>263</v>
      </c>
      <c r="D161" s="10" t="s">
        <v>331</v>
      </c>
      <c r="E161" s="10" t="s">
        <v>332</v>
      </c>
      <c r="F161" s="10">
        <v>34.254199999999997</v>
      </c>
      <c r="G161" s="10">
        <v>44.541600000000003</v>
      </c>
      <c r="H161" s="10" t="s">
        <v>265</v>
      </c>
      <c r="I161" s="10" t="s">
        <v>266</v>
      </c>
      <c r="J161" s="10"/>
      <c r="K161" s="11">
        <v>17</v>
      </c>
      <c r="L161" s="11">
        <v>102</v>
      </c>
      <c r="M161" s="11"/>
      <c r="N161" s="11"/>
      <c r="O161" s="11"/>
      <c r="P161" s="11"/>
      <c r="Q161" s="11"/>
      <c r="R161" s="11"/>
      <c r="S161" s="11"/>
      <c r="T161" s="11"/>
      <c r="U161" s="11">
        <v>17</v>
      </c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>
        <v>17</v>
      </c>
      <c r="AH161" s="11"/>
      <c r="AI161" s="11"/>
      <c r="AJ161" s="11"/>
      <c r="AK161" s="11"/>
      <c r="AL161" s="11"/>
      <c r="AM161" s="11"/>
      <c r="AN161" s="11"/>
      <c r="AO161" s="11"/>
      <c r="AP161" s="11"/>
      <c r="AQ161" s="11">
        <v>17</v>
      </c>
      <c r="AR161" s="11"/>
      <c r="AS161" s="11"/>
      <c r="AT161" s="11"/>
      <c r="AU161" s="11"/>
      <c r="AV161" s="20" t="str">
        <f>HYPERLINK("http://www.openstreetmap.org/?mlat=34.1425&amp;mlon=44.3036&amp;zoom=12#map=12/34.1425/44.3036","Maplink1")</f>
        <v>Maplink1</v>
      </c>
      <c r="AW161" s="20" t="str">
        <f>HYPERLINK("https://www.google.iq/maps/search/+34.1425,44.3036/@34.1425,44.3036,14z?hl=en","Maplink2")</f>
        <v>Maplink2</v>
      </c>
      <c r="AX161" s="20" t="str">
        <f>HYPERLINK("http://www.bing.com/maps/?lvl=14&amp;sty=h&amp;cp=34.1425~44.3036&amp;sp=point.34.1425_44.3036_Albo Shyoh village","Maplink3")</f>
        <v>Maplink3</v>
      </c>
    </row>
    <row r="162" spans="1:50" x14ac:dyDescent="0.25">
      <c r="A162" s="9">
        <v>23498</v>
      </c>
      <c r="B162" s="10" t="s">
        <v>13</v>
      </c>
      <c r="C162" s="10" t="s">
        <v>263</v>
      </c>
      <c r="D162" s="10" t="s">
        <v>333</v>
      </c>
      <c r="E162" s="10" t="s">
        <v>334</v>
      </c>
      <c r="F162" s="10">
        <v>34.369550467300002</v>
      </c>
      <c r="G162" s="10">
        <v>44.613803772499999</v>
      </c>
      <c r="H162" s="10" t="s">
        <v>265</v>
      </c>
      <c r="I162" s="10" t="s">
        <v>266</v>
      </c>
      <c r="J162" s="10" t="s">
        <v>335</v>
      </c>
      <c r="K162" s="11">
        <v>10</v>
      </c>
      <c r="L162" s="11">
        <v>60</v>
      </c>
      <c r="M162" s="11"/>
      <c r="N162" s="11"/>
      <c r="O162" s="11"/>
      <c r="P162" s="11"/>
      <c r="Q162" s="11"/>
      <c r="R162" s="11"/>
      <c r="S162" s="11"/>
      <c r="T162" s="11"/>
      <c r="U162" s="11">
        <v>10</v>
      </c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>
        <v>10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v>10</v>
      </c>
      <c r="AR162" s="11"/>
      <c r="AS162" s="11"/>
      <c r="AT162" s="11"/>
      <c r="AU162" s="11"/>
      <c r="AV162" s="20" t="str">
        <f>HYPERLINK("http://www.openstreetmap.org/?mlat=34.1425&amp;mlon=44.3036&amp;zoom=12#map=12/34.1425/44.3036","Maplink1")</f>
        <v>Maplink1</v>
      </c>
      <c r="AW162" s="20" t="str">
        <f>HYPERLINK("https://www.google.iq/maps/search/+34.1425,44.3036/@34.1425,44.3036,14z?hl=en","Maplink2")</f>
        <v>Maplink2</v>
      </c>
      <c r="AX162" s="20" t="str">
        <f>HYPERLINK("http://www.bing.com/maps/?lvl=14&amp;sty=h&amp;cp=34.1425~44.3036&amp;sp=point.34.1425_44.3036_Albo Tarmish village","Maplink3")</f>
        <v>Maplink3</v>
      </c>
    </row>
    <row r="163" spans="1:50" x14ac:dyDescent="0.25">
      <c r="A163" s="9">
        <v>25681</v>
      </c>
      <c r="B163" s="10" t="s">
        <v>13</v>
      </c>
      <c r="C163" s="10" t="s">
        <v>263</v>
      </c>
      <c r="D163" s="10" t="s">
        <v>336</v>
      </c>
      <c r="E163" s="10" t="s">
        <v>337</v>
      </c>
      <c r="F163" s="10">
        <v>34.085500000000003</v>
      </c>
      <c r="G163" s="10">
        <v>44.912100000000002</v>
      </c>
      <c r="H163" s="10" t="s">
        <v>265</v>
      </c>
      <c r="I163" s="10" t="s">
        <v>266</v>
      </c>
      <c r="J163" s="10"/>
      <c r="K163" s="11">
        <v>12</v>
      </c>
      <c r="L163" s="11">
        <v>72</v>
      </c>
      <c r="M163" s="11"/>
      <c r="N163" s="11"/>
      <c r="O163" s="11"/>
      <c r="P163" s="11"/>
      <c r="Q163" s="11"/>
      <c r="R163" s="11">
        <v>10</v>
      </c>
      <c r="S163" s="11"/>
      <c r="T163" s="11"/>
      <c r="U163" s="11">
        <v>2</v>
      </c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>
        <v>6</v>
      </c>
      <c r="AG163" s="11"/>
      <c r="AH163" s="11"/>
      <c r="AI163" s="11"/>
      <c r="AJ163" s="11"/>
      <c r="AK163" s="11"/>
      <c r="AL163" s="11"/>
      <c r="AM163" s="11"/>
      <c r="AN163" s="11">
        <v>6</v>
      </c>
      <c r="AO163" s="11"/>
      <c r="AP163" s="11"/>
      <c r="AQ163" s="11"/>
      <c r="AR163" s="11"/>
      <c r="AS163" s="11">
        <v>12</v>
      </c>
      <c r="AT163" s="11"/>
      <c r="AU163" s="11"/>
      <c r="AV163" s="20" t="str">
        <f>HYPERLINK("http://www.openstreetmap.org/?mlat=34.0855&amp;mlon=44.9121&amp;zoom=12#map=12/34.0855/44.9121","Maplink1")</f>
        <v>Maplink1</v>
      </c>
      <c r="AW163" s="20" t="str">
        <f>HYPERLINK("https://www.google.iq/maps/search/+34.0855,44.9121/@34.0855,44.9121,14z?hl=en","Maplink2")</f>
        <v>Maplink2</v>
      </c>
      <c r="AX163" s="20" t="str">
        <f>HYPERLINK("http://www.bing.com/maps/?lvl=14&amp;sty=h&amp;cp=34.0855~44.9121&amp;sp=point.34.0855_44.9121_Ali Abdulla village","Maplink3")</f>
        <v>Maplink3</v>
      </c>
    </row>
    <row r="164" spans="1:50" x14ac:dyDescent="0.25">
      <c r="A164" s="9">
        <v>25680</v>
      </c>
      <c r="B164" s="10" t="s">
        <v>13</v>
      </c>
      <c r="C164" s="10" t="s">
        <v>263</v>
      </c>
      <c r="D164" s="10" t="s">
        <v>338</v>
      </c>
      <c r="E164" s="10" t="s">
        <v>339</v>
      </c>
      <c r="F164" s="10">
        <v>34.0236522071</v>
      </c>
      <c r="G164" s="10">
        <v>44.865479255099999</v>
      </c>
      <c r="H164" s="10" t="s">
        <v>265</v>
      </c>
      <c r="I164" s="10" t="s">
        <v>266</v>
      </c>
      <c r="J164" s="10"/>
      <c r="K164" s="11">
        <v>100</v>
      </c>
      <c r="L164" s="11">
        <v>600</v>
      </c>
      <c r="M164" s="11"/>
      <c r="N164" s="11"/>
      <c r="O164" s="11"/>
      <c r="P164" s="11"/>
      <c r="Q164" s="11"/>
      <c r="R164" s="11">
        <v>82</v>
      </c>
      <c r="S164" s="11"/>
      <c r="T164" s="11"/>
      <c r="U164" s="11">
        <v>9</v>
      </c>
      <c r="V164" s="11"/>
      <c r="W164" s="11"/>
      <c r="X164" s="11"/>
      <c r="Y164" s="11"/>
      <c r="Z164" s="11"/>
      <c r="AA164" s="11"/>
      <c r="AB164" s="11">
        <v>9</v>
      </c>
      <c r="AC164" s="11"/>
      <c r="AD164" s="11"/>
      <c r="AE164" s="11"/>
      <c r="AF164" s="11">
        <v>100</v>
      </c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>
        <v>100</v>
      </c>
      <c r="AT164" s="11"/>
      <c r="AU164" s="11"/>
      <c r="AV164" s="20" t="str">
        <f>HYPERLINK("http://www.openstreetmap.org/?mlat=34.0518&amp;mlon=44.8942&amp;zoom=12#map=12/34.0518/44.8942","Maplink1")</f>
        <v>Maplink1</v>
      </c>
      <c r="AW164" s="20" t="str">
        <f>HYPERLINK("https://www.google.iq/maps/search/+34.0518,44.8942/@34.0518,44.8942,14z?hl=en","Maplink2")</f>
        <v>Maplink2</v>
      </c>
      <c r="AX164" s="20" t="str">
        <f>HYPERLINK("http://www.bing.com/maps/?lvl=14&amp;sty=h&amp;cp=34.0518~44.8942&amp;sp=point.34.0518_44.8942_Alwan hadid village","Maplink3")</f>
        <v>Maplink3</v>
      </c>
    </row>
    <row r="165" spans="1:50" x14ac:dyDescent="0.25">
      <c r="A165" s="9">
        <v>26074</v>
      </c>
      <c r="B165" s="10" t="s">
        <v>13</v>
      </c>
      <c r="C165" s="10" t="s">
        <v>263</v>
      </c>
      <c r="D165" s="10" t="s">
        <v>340</v>
      </c>
      <c r="E165" s="10" t="s">
        <v>341</v>
      </c>
      <c r="F165" s="10">
        <v>34.082662529899999</v>
      </c>
      <c r="G165" s="10">
        <v>44.874094282400002</v>
      </c>
      <c r="H165" s="10" t="s">
        <v>265</v>
      </c>
      <c r="I165" s="10" t="s">
        <v>266</v>
      </c>
      <c r="J165" s="10"/>
      <c r="K165" s="11">
        <v>135</v>
      </c>
      <c r="L165" s="11">
        <v>810</v>
      </c>
      <c r="M165" s="11"/>
      <c r="N165" s="11"/>
      <c r="O165" s="11"/>
      <c r="P165" s="11"/>
      <c r="Q165" s="11"/>
      <c r="R165" s="11">
        <v>135</v>
      </c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>
        <v>50</v>
      </c>
      <c r="AG165" s="11"/>
      <c r="AH165" s="11"/>
      <c r="AI165" s="11"/>
      <c r="AJ165" s="11"/>
      <c r="AK165" s="11"/>
      <c r="AL165" s="11"/>
      <c r="AM165" s="11"/>
      <c r="AN165" s="11">
        <v>85</v>
      </c>
      <c r="AO165" s="11"/>
      <c r="AP165" s="11"/>
      <c r="AQ165" s="11">
        <v>135</v>
      </c>
      <c r="AR165" s="11"/>
      <c r="AS165" s="11"/>
      <c r="AT165" s="11"/>
      <c r="AU165" s="11"/>
      <c r="AV165" s="20" t="str">
        <f>HYPERLINK("http://www.openstreetmap.org/?mlat=34.0869&amp;mlon=44.8905&amp;zoom=12#map=12/34.0869/44.8905","Maplink1")</f>
        <v>Maplink1</v>
      </c>
      <c r="AW165" s="20" t="str">
        <f>HYPERLINK("https://www.google.iq/maps/search/+34.0869,44.8905/@34.0869,44.8905,14z?hl=en","Maplink2")</f>
        <v>Maplink2</v>
      </c>
      <c r="AX165" s="20" t="str">
        <f>HYPERLINK("http://www.bing.com/maps/?lvl=14&amp;sty=h&amp;cp=34.0869~44.8905&amp;sp=point.34.0869_44.8905_Arab hafedh village","Maplink3")</f>
        <v>Maplink3</v>
      </c>
    </row>
    <row r="166" spans="1:50" x14ac:dyDescent="0.25">
      <c r="A166" s="9">
        <v>26055</v>
      </c>
      <c r="B166" s="10" t="s">
        <v>13</v>
      </c>
      <c r="C166" s="10" t="s">
        <v>263</v>
      </c>
      <c r="D166" s="10" t="s">
        <v>342</v>
      </c>
      <c r="E166" s="10" t="s">
        <v>343</v>
      </c>
      <c r="F166" s="10">
        <v>34.056063014999999</v>
      </c>
      <c r="G166" s="10">
        <v>44.846521988500001</v>
      </c>
      <c r="H166" s="10" t="s">
        <v>265</v>
      </c>
      <c r="I166" s="10" t="s">
        <v>266</v>
      </c>
      <c r="J166" s="10"/>
      <c r="K166" s="11">
        <v>95</v>
      </c>
      <c r="L166" s="11">
        <v>570</v>
      </c>
      <c r="M166" s="11"/>
      <c r="N166" s="11"/>
      <c r="O166" s="11"/>
      <c r="P166" s="11"/>
      <c r="Q166" s="11"/>
      <c r="R166" s="11">
        <v>95</v>
      </c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>
        <v>95</v>
      </c>
      <c r="AO166" s="11"/>
      <c r="AP166" s="11"/>
      <c r="AQ166" s="11">
        <v>95</v>
      </c>
      <c r="AR166" s="11"/>
      <c r="AS166" s="11"/>
      <c r="AT166" s="11"/>
      <c r="AU166" s="11"/>
      <c r="AV166" s="20" t="str">
        <f>HYPERLINK("http://www.openstreetmap.org/?mlat=34.0692&amp;mlon=44.9051&amp;zoom=12#map=12/34.0692/44.9051","Maplink1")</f>
        <v>Maplink1</v>
      </c>
      <c r="AW166" s="20" t="str">
        <f>HYPERLINK("https://www.google.iq/maps/search/+34.0692,44.9051/@34.0692,44.9051,14z?hl=en","Maplink2")</f>
        <v>Maplink2</v>
      </c>
      <c r="AX166" s="20" t="str">
        <f>HYPERLINK("http://www.bing.com/maps/?lvl=14&amp;sty=h&amp;cp=34.0692~44.9051&amp;sp=point.34.0692_44.9051_Arab Hamdan Village","Maplink3")</f>
        <v>Maplink3</v>
      </c>
    </row>
    <row r="167" spans="1:50" x14ac:dyDescent="0.25">
      <c r="A167" s="9">
        <v>28465</v>
      </c>
      <c r="B167" s="10" t="s">
        <v>13</v>
      </c>
      <c r="C167" s="10" t="s">
        <v>263</v>
      </c>
      <c r="D167" s="10" t="s">
        <v>344</v>
      </c>
      <c r="E167" s="10" t="s">
        <v>345</v>
      </c>
      <c r="F167" s="10">
        <v>34.189399999999999</v>
      </c>
      <c r="G167" s="10">
        <v>44.524099999999997</v>
      </c>
      <c r="H167" s="10" t="s">
        <v>265</v>
      </c>
      <c r="I167" s="10" t="s">
        <v>266</v>
      </c>
      <c r="J167" s="10"/>
      <c r="K167" s="11">
        <v>17</v>
      </c>
      <c r="L167" s="11">
        <v>102</v>
      </c>
      <c r="M167" s="11"/>
      <c r="N167" s="11"/>
      <c r="O167" s="11"/>
      <c r="P167" s="11"/>
      <c r="Q167" s="11"/>
      <c r="R167" s="11">
        <v>17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>
        <v>17</v>
      </c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>
        <v>17</v>
      </c>
      <c r="AR167" s="11"/>
      <c r="AS167" s="11"/>
      <c r="AT167" s="11"/>
      <c r="AU167" s="11"/>
      <c r="AV167" s="20" t="str">
        <f>HYPERLINK("http://www.openstreetmap.org/?mlat=34.1425&amp;mlon=44.3036&amp;zoom=12#map=12/34.1425/44.3036","Maplink1")</f>
        <v>Maplink1</v>
      </c>
      <c r="AW167" s="20" t="str">
        <f>HYPERLINK("https://www.google.iq/maps/search/+34.1425,44.3036/@34.1425,44.3036,14z?hl=en","Maplink2")</f>
        <v>Maplink2</v>
      </c>
      <c r="AX167" s="20" t="str">
        <f>HYPERLINK("http://www.bing.com/maps/?lvl=14&amp;sty=h&amp;cp=34.1425~44.3036&amp;sp=point.34.1425_44.3036_Al Angaa","Maplink3")</f>
        <v>Maplink3</v>
      </c>
    </row>
    <row r="168" spans="1:50" x14ac:dyDescent="0.25">
      <c r="A168" s="9">
        <v>28446</v>
      </c>
      <c r="B168" s="10" t="s">
        <v>13</v>
      </c>
      <c r="C168" s="10" t="s">
        <v>263</v>
      </c>
      <c r="D168" s="10" t="s">
        <v>346</v>
      </c>
      <c r="E168" s="10" t="s">
        <v>347</v>
      </c>
      <c r="F168" s="10">
        <v>34.2703937709</v>
      </c>
      <c r="G168" s="10">
        <v>44.533716557200002</v>
      </c>
      <c r="H168" s="10" t="s">
        <v>265</v>
      </c>
      <c r="I168" s="10" t="s">
        <v>266</v>
      </c>
      <c r="J168" s="10"/>
      <c r="K168" s="11">
        <v>17</v>
      </c>
      <c r="L168" s="11">
        <v>102</v>
      </c>
      <c r="M168" s="11"/>
      <c r="N168" s="11"/>
      <c r="O168" s="11"/>
      <c r="P168" s="11"/>
      <c r="Q168" s="11"/>
      <c r="R168" s="11">
        <v>17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>
        <v>17</v>
      </c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>
        <v>17</v>
      </c>
      <c r="AR168" s="11"/>
      <c r="AS168" s="11"/>
      <c r="AT168" s="11"/>
      <c r="AU168" s="11"/>
      <c r="AV168" s="20" t="str">
        <f>HYPERLINK("http://www.openstreetmap.org/?mlat=34.1425&amp;mlon=44.3036&amp;zoom=12#map=12/34.1425/44.3036","Maplink1")</f>
        <v>Maplink1</v>
      </c>
      <c r="AW168" s="20" t="str">
        <f>HYPERLINK("https://www.google.iq/maps/search/+34.1425,44.3036/@34.1425,44.3036,14z?hl=en","Maplink2")</f>
        <v>Maplink2</v>
      </c>
      <c r="AX168" s="20" t="str">
        <f>HYPERLINK("http://www.bing.com/maps/?lvl=14&amp;sty=h&amp;cp=34.1425~44.3036&amp;sp=point.34.1425_44.3036_Al Angaa","Maplink3")</f>
        <v>Maplink3</v>
      </c>
    </row>
    <row r="169" spans="1:50" x14ac:dyDescent="0.25">
      <c r="A169" s="9">
        <v>25659</v>
      </c>
      <c r="B169" s="10" t="s">
        <v>13</v>
      </c>
      <c r="C169" s="10" t="s">
        <v>263</v>
      </c>
      <c r="D169" s="10" t="s">
        <v>348</v>
      </c>
      <c r="E169" s="10" t="s">
        <v>349</v>
      </c>
      <c r="F169" s="10">
        <v>34.091725642599997</v>
      </c>
      <c r="G169" s="10">
        <v>44.936574357300003</v>
      </c>
      <c r="H169" s="10" t="s">
        <v>265</v>
      </c>
      <c r="I169" s="10" t="s">
        <v>266</v>
      </c>
      <c r="J169" s="10"/>
      <c r="K169" s="11">
        <v>47</v>
      </c>
      <c r="L169" s="11">
        <v>282</v>
      </c>
      <c r="M169" s="11"/>
      <c r="N169" s="11"/>
      <c r="O169" s="11"/>
      <c r="P169" s="11"/>
      <c r="Q169" s="11"/>
      <c r="R169" s="11">
        <v>32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>
        <v>15</v>
      </c>
      <c r="AC169" s="11"/>
      <c r="AD169" s="11"/>
      <c r="AE169" s="11"/>
      <c r="AF169" s="11">
        <v>15</v>
      </c>
      <c r="AG169" s="11"/>
      <c r="AH169" s="11"/>
      <c r="AI169" s="11"/>
      <c r="AJ169" s="11"/>
      <c r="AK169" s="11"/>
      <c r="AL169" s="11"/>
      <c r="AM169" s="11"/>
      <c r="AN169" s="11">
        <v>32</v>
      </c>
      <c r="AO169" s="11"/>
      <c r="AP169" s="11"/>
      <c r="AQ169" s="11"/>
      <c r="AR169" s="11"/>
      <c r="AS169" s="11">
        <v>47</v>
      </c>
      <c r="AT169" s="11"/>
      <c r="AU169" s="11"/>
      <c r="AV169" s="20" t="str">
        <f>HYPERLINK("http://www.openstreetmap.org/?mlat=33.9921&amp;mlon=44.9533&amp;zoom=12#map=12/33.9921/44.9533","Maplink1")</f>
        <v>Maplink1</v>
      </c>
      <c r="AW169" s="20" t="str">
        <f>HYPERLINK("https://www.google.iq/maps/search/+33.9921,44.9533/@33.9921,44.9533,14z?hl=en","Maplink2")</f>
        <v>Maplink2</v>
      </c>
      <c r="AX169" s="20" t="str">
        <f>HYPERLINK("http://www.bing.com/maps/?lvl=14&amp;sty=h&amp;cp=33.9921~44.9533&amp;sp=point.33.9921_44.9533_Bayat village","Maplink3")</f>
        <v>Maplink3</v>
      </c>
    </row>
    <row r="170" spans="1:50" x14ac:dyDescent="0.25">
      <c r="A170" s="9">
        <v>25670</v>
      </c>
      <c r="B170" s="10" t="s">
        <v>13</v>
      </c>
      <c r="C170" s="10" t="s">
        <v>263</v>
      </c>
      <c r="D170" s="10" t="s">
        <v>350</v>
      </c>
      <c r="E170" s="10" t="s">
        <v>351</v>
      </c>
      <c r="F170" s="10">
        <v>34.098608212099997</v>
      </c>
      <c r="G170" s="10">
        <v>44.741252624700003</v>
      </c>
      <c r="H170" s="10" t="s">
        <v>265</v>
      </c>
      <c r="I170" s="10" t="s">
        <v>266</v>
      </c>
      <c r="J170" s="10"/>
      <c r="K170" s="11">
        <v>57</v>
      </c>
      <c r="L170" s="11">
        <v>342</v>
      </c>
      <c r="M170" s="11"/>
      <c r="N170" s="11"/>
      <c r="O170" s="11"/>
      <c r="P170" s="11"/>
      <c r="Q170" s="11"/>
      <c r="R170" s="11">
        <v>57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>
        <v>57</v>
      </c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57</v>
      </c>
      <c r="AR170" s="11"/>
      <c r="AS170" s="11"/>
      <c r="AT170" s="11"/>
      <c r="AU170" s="11"/>
      <c r="AV170" s="20" t="str">
        <f>HYPERLINK("http://www.openstreetmap.org/?mlat=34.0822&amp;mlon=44.8258&amp;zoom=12#map=12/34.0822/44.8258","Maplink1")</f>
        <v>Maplink1</v>
      </c>
      <c r="AW170" s="20" t="str">
        <f>HYPERLINK("https://www.google.iq/maps/search/+34.0822,44.8258/@34.0822,44.8258,14z?hl=en","Maplink2")</f>
        <v>Maplink2</v>
      </c>
      <c r="AX170" s="20" t="str">
        <f>HYPERLINK("http://www.bing.com/maps/?lvl=14&amp;sty=h&amp;cp=34.0822~44.8258&amp;sp=point.34.0822_44.8258_Bazaiz Al-mashroo village","Maplink3")</f>
        <v>Maplink3</v>
      </c>
    </row>
    <row r="171" spans="1:50" x14ac:dyDescent="0.25">
      <c r="A171" s="9">
        <v>27162</v>
      </c>
      <c r="B171" s="10" t="s">
        <v>13</v>
      </c>
      <c r="C171" s="10" t="s">
        <v>263</v>
      </c>
      <c r="D171" s="10" t="s">
        <v>949</v>
      </c>
      <c r="E171" s="10" t="s">
        <v>1170</v>
      </c>
      <c r="F171" s="10">
        <v>34.324599317800001</v>
      </c>
      <c r="G171" s="10">
        <v>44.744052724600003</v>
      </c>
      <c r="H171" s="10" t="s">
        <v>265</v>
      </c>
      <c r="I171" s="10" t="s">
        <v>266</v>
      </c>
      <c r="J171" s="10"/>
      <c r="K171" s="11">
        <v>120</v>
      </c>
      <c r="L171" s="11">
        <v>720</v>
      </c>
      <c r="M171" s="11"/>
      <c r="N171" s="11"/>
      <c r="O171" s="11"/>
      <c r="P171" s="11"/>
      <c r="Q171" s="11"/>
      <c r="R171" s="11"/>
      <c r="S171" s="11"/>
      <c r="T171" s="11"/>
      <c r="U171" s="11">
        <v>120</v>
      </c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>
        <v>120</v>
      </c>
      <c r="AH171" s="11"/>
      <c r="AI171" s="11"/>
      <c r="AJ171" s="11"/>
      <c r="AK171" s="11"/>
      <c r="AL171" s="11"/>
      <c r="AM171" s="11"/>
      <c r="AN171" s="11"/>
      <c r="AO171" s="11"/>
      <c r="AP171" s="11"/>
      <c r="AQ171" s="11">
        <v>120</v>
      </c>
      <c r="AR171" s="11"/>
      <c r="AS171" s="11"/>
      <c r="AT171" s="11"/>
      <c r="AU171" s="11"/>
      <c r="AV171" s="20" t="str">
        <f>HYPERLINK("http://www.openstreetmap.org/?mlat=34.1425&amp;mlon=44.3036&amp;zoom=12#map=12/34.1425/44.3036","Maplink1")</f>
        <v>Maplink1</v>
      </c>
      <c r="AW171" s="20" t="str">
        <f>HYPERLINK("https://www.google.iq/maps/search/+34.1425,44.3036/@34.1425,44.3036,14z?hl=en","Maplink2")</f>
        <v>Maplink2</v>
      </c>
      <c r="AX171" s="20" t="str">
        <f>HYPERLINK("http://www.bing.com/maps/?lvl=14&amp;sty=h&amp;cp=34.1425~44.3036&amp;sp=point.34.1425_44.3036_Cojtan village","Maplink3")</f>
        <v>Maplink3</v>
      </c>
    </row>
    <row r="172" spans="1:50" x14ac:dyDescent="0.25">
      <c r="A172" s="9">
        <v>25651</v>
      </c>
      <c r="B172" s="10" t="s">
        <v>13</v>
      </c>
      <c r="C172" s="10" t="s">
        <v>263</v>
      </c>
      <c r="D172" s="10" t="s">
        <v>950</v>
      </c>
      <c r="E172" s="10" t="s">
        <v>1171</v>
      </c>
      <c r="F172" s="10">
        <v>34.073396995000003</v>
      </c>
      <c r="G172" s="10">
        <v>44.863996596699998</v>
      </c>
      <c r="H172" s="10" t="s">
        <v>265</v>
      </c>
      <c r="I172" s="10" t="s">
        <v>266</v>
      </c>
      <c r="J172" s="10"/>
      <c r="K172" s="11">
        <v>433</v>
      </c>
      <c r="L172" s="11">
        <v>2598</v>
      </c>
      <c r="M172" s="11"/>
      <c r="N172" s="11"/>
      <c r="O172" s="11"/>
      <c r="P172" s="11"/>
      <c r="Q172" s="11"/>
      <c r="R172" s="11">
        <v>333</v>
      </c>
      <c r="S172" s="11"/>
      <c r="T172" s="11"/>
      <c r="U172" s="11">
        <v>45</v>
      </c>
      <c r="V172" s="11"/>
      <c r="W172" s="11"/>
      <c r="X172" s="11"/>
      <c r="Y172" s="11"/>
      <c r="Z172" s="11"/>
      <c r="AA172" s="11"/>
      <c r="AB172" s="11">
        <v>55</v>
      </c>
      <c r="AC172" s="11"/>
      <c r="AD172" s="11"/>
      <c r="AE172" s="11"/>
      <c r="AF172" s="11">
        <v>433</v>
      </c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>
        <v>433</v>
      </c>
      <c r="AR172" s="11"/>
      <c r="AS172" s="11"/>
      <c r="AT172" s="11"/>
      <c r="AU172" s="11"/>
      <c r="AV172" s="20" t="str">
        <f>HYPERLINK("http://www.openstreetmap.org/?mlat=34.0688&amp;mlon=44.8609&amp;zoom=12#map=12/34.0688/44.8609","Maplink1")</f>
        <v>Maplink1</v>
      </c>
      <c r="AW172" s="20" t="str">
        <f>HYPERLINK("https://www.google.iq/maps/search/+34.0688,44.8609/@34.0688,44.8609,14z?hl=en","Maplink2")</f>
        <v>Maplink2</v>
      </c>
      <c r="AX172" s="20" t="str">
        <f>HYPERLINK("http://www.bing.com/maps/?lvl=14&amp;sty=h&amp;cp=34.0688~44.8609&amp;sp=point.34.0688_44.8609_Hay Al-qadim","Maplink3")</f>
        <v>Maplink3</v>
      </c>
    </row>
    <row r="173" spans="1:50" x14ac:dyDescent="0.25">
      <c r="A173" s="9">
        <v>25652</v>
      </c>
      <c r="B173" s="10" t="s">
        <v>13</v>
      </c>
      <c r="C173" s="10" t="s">
        <v>263</v>
      </c>
      <c r="D173" s="10" t="s">
        <v>951</v>
      </c>
      <c r="E173" s="10" t="s">
        <v>370</v>
      </c>
      <c r="F173" s="10">
        <v>34.069891520799999</v>
      </c>
      <c r="G173" s="10">
        <v>44.864400168899998</v>
      </c>
      <c r="H173" s="10" t="s">
        <v>265</v>
      </c>
      <c r="I173" s="10" t="s">
        <v>266</v>
      </c>
      <c r="J173" s="10"/>
      <c r="K173" s="11">
        <v>417</v>
      </c>
      <c r="L173" s="11">
        <v>2502</v>
      </c>
      <c r="M173" s="11"/>
      <c r="N173" s="11"/>
      <c r="O173" s="11"/>
      <c r="P173" s="11"/>
      <c r="Q173" s="11"/>
      <c r="R173" s="11">
        <v>390</v>
      </c>
      <c r="S173" s="11"/>
      <c r="T173" s="11"/>
      <c r="U173" s="11">
        <v>17</v>
      </c>
      <c r="V173" s="11"/>
      <c r="W173" s="11"/>
      <c r="X173" s="11"/>
      <c r="Y173" s="11"/>
      <c r="Z173" s="11"/>
      <c r="AA173" s="11"/>
      <c r="AB173" s="11">
        <v>10</v>
      </c>
      <c r="AC173" s="11"/>
      <c r="AD173" s="11"/>
      <c r="AE173" s="11"/>
      <c r="AF173" s="11">
        <v>417</v>
      </c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>
        <v>417</v>
      </c>
      <c r="AR173" s="11"/>
      <c r="AS173" s="11"/>
      <c r="AT173" s="11"/>
      <c r="AU173" s="11"/>
      <c r="AV173" s="20" t="str">
        <f>HYPERLINK("http://www.openstreetmap.org/?mlat=34.0656&amp;mlon=44.8635&amp;zoom=12#map=12/34.0656/44.8635","Maplink1")</f>
        <v>Maplink1</v>
      </c>
      <c r="AW173" s="20" t="str">
        <f>HYPERLINK("https://www.google.iq/maps/search/+34.0656,44.8635/@34.0656,44.8635,14z?hl=en","Maplink2")</f>
        <v>Maplink2</v>
      </c>
      <c r="AX173" s="20" t="str">
        <f>HYPERLINK("http://www.bing.com/maps/?lvl=14&amp;sty=h&amp;cp=34.0656~44.8635&amp;sp=point.34.0656_44.8635_Hay Al-rasheed","Maplink3")</f>
        <v>Maplink3</v>
      </c>
    </row>
    <row r="174" spans="1:50" x14ac:dyDescent="0.25">
      <c r="A174" s="9">
        <v>25654</v>
      </c>
      <c r="B174" s="10" t="s">
        <v>13</v>
      </c>
      <c r="C174" s="10" t="s">
        <v>263</v>
      </c>
      <c r="D174" s="10" t="s">
        <v>952</v>
      </c>
      <c r="E174" s="10" t="s">
        <v>368</v>
      </c>
      <c r="F174" s="10">
        <v>34.079599999999999</v>
      </c>
      <c r="G174" s="10">
        <v>44.9572</v>
      </c>
      <c r="H174" s="10" t="s">
        <v>265</v>
      </c>
      <c r="I174" s="10" t="s">
        <v>266</v>
      </c>
      <c r="J174" s="10"/>
      <c r="K174" s="11">
        <v>200</v>
      </c>
      <c r="L174" s="11">
        <v>1200</v>
      </c>
      <c r="M174" s="11"/>
      <c r="N174" s="11"/>
      <c r="O174" s="11"/>
      <c r="P174" s="11"/>
      <c r="Q174" s="11"/>
      <c r="R174" s="11">
        <v>161</v>
      </c>
      <c r="S174" s="11"/>
      <c r="T174" s="11"/>
      <c r="U174" s="11">
        <v>39</v>
      </c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>
        <v>200</v>
      </c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>
        <v>200</v>
      </c>
      <c r="AR174" s="11"/>
      <c r="AS174" s="11"/>
      <c r="AT174" s="11"/>
      <c r="AU174" s="11"/>
      <c r="AV174" s="20" t="str">
        <f>HYPERLINK("http://www.openstreetmap.org/?mlat=34.0694&amp;mlon=44.8571&amp;zoom=12#map=12/34.0694/44.8571","Maplink1")</f>
        <v>Maplink1</v>
      </c>
      <c r="AW174" s="20" t="str">
        <f>HYPERLINK("https://www.google.iq/maps/search/+34.0694,44.8571/@34.0694,44.8571,14z?hl=en","Maplink2")</f>
        <v>Maplink2</v>
      </c>
      <c r="AX174" s="20" t="str">
        <f>HYPERLINK("http://www.bing.com/maps/?lvl=14&amp;sty=h&amp;cp=34.0694~44.8571&amp;sp=point.34.0694_44.8571_Hay Al-dhobat","Maplink3")</f>
        <v>Maplink3</v>
      </c>
    </row>
    <row r="175" spans="1:50" x14ac:dyDescent="0.25">
      <c r="A175" s="9">
        <v>25655</v>
      </c>
      <c r="B175" s="10" t="s">
        <v>13</v>
      </c>
      <c r="C175" s="10" t="s">
        <v>263</v>
      </c>
      <c r="D175" s="10" t="s">
        <v>953</v>
      </c>
      <c r="E175" s="10" t="s">
        <v>369</v>
      </c>
      <c r="F175" s="10">
        <v>34.070367109999999</v>
      </c>
      <c r="G175" s="10">
        <v>44.8705800623</v>
      </c>
      <c r="H175" s="10" t="s">
        <v>265</v>
      </c>
      <c r="I175" s="10" t="s">
        <v>266</v>
      </c>
      <c r="J175" s="10"/>
      <c r="K175" s="11">
        <v>305</v>
      </c>
      <c r="L175" s="11">
        <v>1830</v>
      </c>
      <c r="M175" s="11"/>
      <c r="N175" s="11"/>
      <c r="O175" s="11"/>
      <c r="P175" s="11"/>
      <c r="Q175" s="11"/>
      <c r="R175" s="11">
        <v>210</v>
      </c>
      <c r="S175" s="11"/>
      <c r="T175" s="11"/>
      <c r="U175" s="11">
        <v>50</v>
      </c>
      <c r="V175" s="11"/>
      <c r="W175" s="11"/>
      <c r="X175" s="11"/>
      <c r="Y175" s="11"/>
      <c r="Z175" s="11"/>
      <c r="AA175" s="11"/>
      <c r="AB175" s="11">
        <v>45</v>
      </c>
      <c r="AC175" s="11"/>
      <c r="AD175" s="11"/>
      <c r="AE175" s="11"/>
      <c r="AF175" s="11">
        <v>305</v>
      </c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>
        <v>305</v>
      </c>
      <c r="AR175" s="11"/>
      <c r="AS175" s="11"/>
      <c r="AT175" s="11"/>
      <c r="AU175" s="11"/>
      <c r="AV175" s="20" t="str">
        <f>HYPERLINK("http://www.openstreetmap.org/?mlat=34.0716&amp;mlon=44.8623&amp;zoom=12#map=12/34.0716/44.8623","Maplink1")</f>
        <v>Maplink1</v>
      </c>
      <c r="AW175" s="20" t="str">
        <f>HYPERLINK("https://www.google.iq/maps/search/+34.0716,44.8623/@34.0716,44.8623,14z?hl=en","Maplink2")</f>
        <v>Maplink2</v>
      </c>
      <c r="AX175" s="20" t="str">
        <f>HYPERLINK("http://www.bing.com/maps/?lvl=14&amp;sty=h&amp;cp=34.0716~44.8623&amp;sp=point.34.0716_44.8623_Hay Al-mualimen","Maplink3")</f>
        <v>Maplink3</v>
      </c>
    </row>
    <row r="176" spans="1:50" x14ac:dyDescent="0.25">
      <c r="A176" s="9">
        <v>25653</v>
      </c>
      <c r="B176" s="10" t="s">
        <v>13</v>
      </c>
      <c r="C176" s="10" t="s">
        <v>263</v>
      </c>
      <c r="D176" s="10" t="s">
        <v>954</v>
      </c>
      <c r="E176" s="10" t="s">
        <v>371</v>
      </c>
      <c r="F176" s="10">
        <v>34.077036925599998</v>
      </c>
      <c r="G176" s="10">
        <v>44.855530606599999</v>
      </c>
      <c r="H176" s="10" t="s">
        <v>265</v>
      </c>
      <c r="I176" s="10" t="s">
        <v>266</v>
      </c>
      <c r="J176" s="10"/>
      <c r="K176" s="11">
        <v>225</v>
      </c>
      <c r="L176" s="11">
        <v>1350</v>
      </c>
      <c r="M176" s="11"/>
      <c r="N176" s="11"/>
      <c r="O176" s="11"/>
      <c r="P176" s="11"/>
      <c r="Q176" s="11"/>
      <c r="R176" s="11"/>
      <c r="S176" s="11"/>
      <c r="T176" s="11"/>
      <c r="U176" s="11">
        <v>225</v>
      </c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>
        <v>225</v>
      </c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>
        <v>225</v>
      </c>
      <c r="AR176" s="11"/>
      <c r="AS176" s="11"/>
      <c r="AT176" s="11"/>
      <c r="AU176" s="11"/>
      <c r="AV176" s="20" t="str">
        <f>HYPERLINK("http://www.openstreetmap.org/?mlat=34.0705&amp;mlon=44.8686&amp;zoom=12#map=12/34.0705/44.8686","Maplink1")</f>
        <v>Maplink1</v>
      </c>
      <c r="AW176" s="20" t="str">
        <f>HYPERLINK("https://www.google.iq/maps/search/+34.0705,44.8686/@34.0705,44.8686,14z?hl=en","Maplink2")</f>
        <v>Maplink2</v>
      </c>
      <c r="AX176" s="20" t="str">
        <f>HYPERLINK("http://www.bing.com/maps/?lvl=14&amp;sty=h&amp;cp=34.0705~44.8686&amp;sp=point.34.0705_44.8686_Hay Al-shekh hassan","Maplink3")</f>
        <v>Maplink3</v>
      </c>
    </row>
    <row r="177" spans="1:50" x14ac:dyDescent="0.25">
      <c r="A177" s="9">
        <v>25656</v>
      </c>
      <c r="B177" s="10" t="s">
        <v>13</v>
      </c>
      <c r="C177" s="10" t="s">
        <v>263</v>
      </c>
      <c r="D177" s="10" t="s">
        <v>955</v>
      </c>
      <c r="E177" s="10" t="s">
        <v>373</v>
      </c>
      <c r="F177" s="10">
        <v>34.069639560799999</v>
      </c>
      <c r="G177" s="10">
        <v>44.8598904535</v>
      </c>
      <c r="H177" s="10" t="s">
        <v>265</v>
      </c>
      <c r="I177" s="10" t="s">
        <v>266</v>
      </c>
      <c r="J177" s="10"/>
      <c r="K177" s="11">
        <v>199</v>
      </c>
      <c r="L177" s="11">
        <v>1194</v>
      </c>
      <c r="M177" s="11"/>
      <c r="N177" s="11"/>
      <c r="O177" s="11"/>
      <c r="P177" s="11"/>
      <c r="Q177" s="11"/>
      <c r="R177" s="11">
        <v>139</v>
      </c>
      <c r="S177" s="11"/>
      <c r="T177" s="11"/>
      <c r="U177" s="11">
        <v>35</v>
      </c>
      <c r="V177" s="11"/>
      <c r="W177" s="11"/>
      <c r="X177" s="11"/>
      <c r="Y177" s="11"/>
      <c r="Z177" s="11"/>
      <c r="AA177" s="11"/>
      <c r="AB177" s="11">
        <v>25</v>
      </c>
      <c r="AC177" s="11"/>
      <c r="AD177" s="11"/>
      <c r="AE177" s="11"/>
      <c r="AF177" s="11">
        <v>199</v>
      </c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>
        <v>199</v>
      </c>
      <c r="AR177" s="11"/>
      <c r="AS177" s="11"/>
      <c r="AT177" s="11"/>
      <c r="AU177" s="11"/>
      <c r="AV177" s="20" t="str">
        <f>HYPERLINK("http://www.openstreetmap.org/?mlat=34.0766&amp;mlon=44.8549&amp;zoom=12#map=12/34.0766/44.8549","Maplink1")</f>
        <v>Maplink1</v>
      </c>
      <c r="AW177" s="20" t="str">
        <f>HYPERLINK("https://www.google.iq/maps/search/+34.0766,44.8549/@34.0766,44.8549,14z?hl=en","Maplink2")</f>
        <v>Maplink2</v>
      </c>
      <c r="AX177" s="20" t="str">
        <f>HYPERLINK("http://www.bing.com/maps/?lvl=14&amp;sty=h&amp;cp=34.0766~44.8549&amp;sp=point.34.0766_44.8549_Hay kurd ali","Maplink3")</f>
        <v>Maplink3</v>
      </c>
    </row>
    <row r="178" spans="1:50" x14ac:dyDescent="0.25">
      <c r="A178" s="9">
        <v>25678</v>
      </c>
      <c r="B178" s="10" t="s">
        <v>13</v>
      </c>
      <c r="C178" s="10" t="s">
        <v>263</v>
      </c>
      <c r="D178" s="10" t="s">
        <v>352</v>
      </c>
      <c r="E178" s="10" t="s">
        <v>353</v>
      </c>
      <c r="F178" s="10">
        <v>34.088700000000003</v>
      </c>
      <c r="G178" s="10">
        <v>44.915799999999997</v>
      </c>
      <c r="H178" s="10" t="s">
        <v>265</v>
      </c>
      <c r="I178" s="10" t="s">
        <v>266</v>
      </c>
      <c r="J178" s="10"/>
      <c r="K178" s="11">
        <v>164</v>
      </c>
      <c r="L178" s="11">
        <v>984</v>
      </c>
      <c r="M178" s="11"/>
      <c r="N178" s="11"/>
      <c r="O178" s="11"/>
      <c r="P178" s="11"/>
      <c r="Q178" s="11"/>
      <c r="R178" s="11">
        <v>154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>
        <v>10</v>
      </c>
      <c r="AC178" s="11"/>
      <c r="AD178" s="11"/>
      <c r="AE178" s="11"/>
      <c r="AF178" s="11">
        <v>74</v>
      </c>
      <c r="AG178" s="11"/>
      <c r="AH178" s="11"/>
      <c r="AI178" s="11"/>
      <c r="AJ178" s="11"/>
      <c r="AK178" s="11"/>
      <c r="AL178" s="11"/>
      <c r="AM178" s="11"/>
      <c r="AN178" s="11">
        <v>90</v>
      </c>
      <c r="AO178" s="11"/>
      <c r="AP178" s="11"/>
      <c r="AQ178" s="11"/>
      <c r="AR178" s="11"/>
      <c r="AS178" s="11">
        <v>164</v>
      </c>
      <c r="AT178" s="11"/>
      <c r="AU178" s="11"/>
      <c r="AV178" s="20" t="str">
        <f>HYPERLINK("http://www.openstreetmap.org/?mlat=34.0887&amp;mlon=44.9158&amp;zoom=12#map=12/34.0887/44.9158","Maplink1")</f>
        <v>Maplink1</v>
      </c>
      <c r="AW178" s="20" t="str">
        <f>HYPERLINK("https://www.google.iq/maps/search/+34.0887,44.9158/@34.0887,44.9158,14z?hl=en","Maplink2")</f>
        <v>Maplink2</v>
      </c>
      <c r="AX178" s="20" t="str">
        <f>HYPERLINK("http://www.bing.com/maps/?lvl=14&amp;sty=h&amp;cp=34.0887~44.9158&amp;sp=point.34.0887_44.9158_Dawod Al-Salom village","Maplink3")</f>
        <v>Maplink3</v>
      </c>
    </row>
    <row r="179" spans="1:50" x14ac:dyDescent="0.25">
      <c r="A179" s="9">
        <v>27160</v>
      </c>
      <c r="B179" s="10" t="s">
        <v>13</v>
      </c>
      <c r="C179" s="10" t="s">
        <v>263</v>
      </c>
      <c r="D179" s="10" t="s">
        <v>355</v>
      </c>
      <c r="E179" s="10" t="s">
        <v>356</v>
      </c>
      <c r="F179" s="10">
        <v>34.311416188599999</v>
      </c>
      <c r="G179" s="10">
        <v>44.811089959199997</v>
      </c>
      <c r="H179" s="10" t="s">
        <v>265</v>
      </c>
      <c r="I179" s="10" t="s">
        <v>266</v>
      </c>
      <c r="J179" s="10"/>
      <c r="K179" s="11">
        <v>75</v>
      </c>
      <c r="L179" s="11">
        <v>450</v>
      </c>
      <c r="M179" s="11"/>
      <c r="N179" s="11"/>
      <c r="O179" s="11"/>
      <c r="P179" s="11"/>
      <c r="Q179" s="11"/>
      <c r="R179" s="11"/>
      <c r="S179" s="11"/>
      <c r="T179" s="11"/>
      <c r="U179" s="11">
        <v>75</v>
      </c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>
        <v>75</v>
      </c>
      <c r="AH179" s="11"/>
      <c r="AI179" s="11"/>
      <c r="AJ179" s="11"/>
      <c r="AK179" s="11"/>
      <c r="AL179" s="11"/>
      <c r="AM179" s="11"/>
      <c r="AN179" s="11"/>
      <c r="AO179" s="11"/>
      <c r="AP179" s="11"/>
      <c r="AQ179" s="11">
        <v>75</v>
      </c>
      <c r="AR179" s="11"/>
      <c r="AS179" s="11"/>
      <c r="AT179" s="11"/>
      <c r="AU179" s="11"/>
      <c r="AV179" s="20" t="str">
        <f>HYPERLINK("http://www.openstreetmap.org/?mlat=34.1425&amp;mlon=44.3036&amp;zoom=12#map=12/34.1425/44.3036","Maplink1")</f>
        <v>Maplink1</v>
      </c>
      <c r="AW179" s="20" t="str">
        <f>HYPERLINK("https://www.google.iq/maps/search/+34.1425,44.3036/@34.1425,44.3036,14z?hl=en","Maplink2")</f>
        <v>Maplink2</v>
      </c>
      <c r="AX179" s="20" t="str">
        <f>HYPERLINK("http://www.bing.com/maps/?lvl=14&amp;sty=h&amp;cp=34.1425~44.3036&amp;sp=point.34.1425_44.3036_Ein Layla village","Maplink3")</f>
        <v>Maplink3</v>
      </c>
    </row>
    <row r="180" spans="1:50" x14ac:dyDescent="0.25">
      <c r="A180" s="9">
        <v>25673</v>
      </c>
      <c r="B180" s="10" t="s">
        <v>13</v>
      </c>
      <c r="C180" s="10" t="s">
        <v>263</v>
      </c>
      <c r="D180" s="10" t="s">
        <v>956</v>
      </c>
      <c r="E180" s="10" t="s">
        <v>357</v>
      </c>
      <c r="F180" s="10">
        <v>34.053902327999999</v>
      </c>
      <c r="G180" s="10">
        <v>44.892276702399997</v>
      </c>
      <c r="H180" s="10" t="s">
        <v>265</v>
      </c>
      <c r="I180" s="10" t="s">
        <v>266</v>
      </c>
      <c r="J180" s="10"/>
      <c r="K180" s="11">
        <v>434</v>
      </c>
      <c r="L180" s="11">
        <v>2604</v>
      </c>
      <c r="M180" s="11"/>
      <c r="N180" s="11"/>
      <c r="O180" s="11"/>
      <c r="P180" s="11"/>
      <c r="Q180" s="11"/>
      <c r="R180" s="11">
        <v>234</v>
      </c>
      <c r="S180" s="11"/>
      <c r="T180" s="11"/>
      <c r="U180" s="11">
        <v>100</v>
      </c>
      <c r="V180" s="11"/>
      <c r="W180" s="11"/>
      <c r="X180" s="11"/>
      <c r="Y180" s="11"/>
      <c r="Z180" s="11"/>
      <c r="AA180" s="11"/>
      <c r="AB180" s="11">
        <v>100</v>
      </c>
      <c r="AC180" s="11"/>
      <c r="AD180" s="11"/>
      <c r="AE180" s="11"/>
      <c r="AF180" s="11">
        <v>370</v>
      </c>
      <c r="AG180" s="11"/>
      <c r="AH180" s="11"/>
      <c r="AI180" s="11"/>
      <c r="AJ180" s="11"/>
      <c r="AK180" s="11"/>
      <c r="AL180" s="11"/>
      <c r="AM180" s="11"/>
      <c r="AN180" s="11">
        <v>64</v>
      </c>
      <c r="AO180" s="11"/>
      <c r="AP180" s="11"/>
      <c r="AQ180" s="11"/>
      <c r="AR180" s="11"/>
      <c r="AS180" s="11">
        <v>434</v>
      </c>
      <c r="AT180" s="11"/>
      <c r="AU180" s="11"/>
      <c r="AV180" s="20" t="str">
        <f>HYPERLINK("http://www.openstreetmap.org/?mlat=34.0658&amp;mlon=44.8756&amp;zoom=12#map=12/34.0658/44.8756","Maplink1")</f>
        <v>Maplink1</v>
      </c>
      <c r="AW180" s="20" t="str">
        <f>HYPERLINK("https://www.google.iq/maps/search/+34.0658,44.8756/@34.0658,44.8756,14z?hl=en","Maplink2")</f>
        <v>Maplink2</v>
      </c>
      <c r="AX180" s="20" t="str">
        <f>HYPERLINK("http://www.bing.com/maps/?lvl=14&amp;sty=h&amp;cp=34.0658~44.8756&amp;sp=point.34.0658_44.8756_Habib Al-Abdullah village","Maplink3")</f>
        <v>Maplink3</v>
      </c>
    </row>
    <row r="181" spans="1:50" x14ac:dyDescent="0.25">
      <c r="A181" s="9">
        <v>25672</v>
      </c>
      <c r="B181" s="10" t="s">
        <v>13</v>
      </c>
      <c r="C181" s="10" t="s">
        <v>263</v>
      </c>
      <c r="D181" s="10" t="s">
        <v>358</v>
      </c>
      <c r="E181" s="10" t="s">
        <v>359</v>
      </c>
      <c r="F181" s="10">
        <v>34.060212811500001</v>
      </c>
      <c r="G181" s="10">
        <v>44.850548235700003</v>
      </c>
      <c r="H181" s="10" t="s">
        <v>265</v>
      </c>
      <c r="I181" s="10" t="s">
        <v>266</v>
      </c>
      <c r="J181" s="10"/>
      <c r="K181" s="11">
        <v>240</v>
      </c>
      <c r="L181" s="11">
        <v>1440</v>
      </c>
      <c r="M181" s="11"/>
      <c r="N181" s="11"/>
      <c r="O181" s="11"/>
      <c r="P181" s="11"/>
      <c r="Q181" s="11"/>
      <c r="R181" s="11">
        <v>200</v>
      </c>
      <c r="S181" s="11"/>
      <c r="T181" s="11"/>
      <c r="U181" s="11">
        <v>20</v>
      </c>
      <c r="V181" s="11"/>
      <c r="W181" s="11"/>
      <c r="X181" s="11"/>
      <c r="Y181" s="11"/>
      <c r="Z181" s="11"/>
      <c r="AA181" s="11"/>
      <c r="AB181" s="11">
        <v>20</v>
      </c>
      <c r="AC181" s="11"/>
      <c r="AD181" s="11"/>
      <c r="AE181" s="11"/>
      <c r="AF181" s="11">
        <v>240</v>
      </c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>
        <v>240</v>
      </c>
      <c r="AT181" s="11"/>
      <c r="AU181" s="11"/>
      <c r="AV181" s="20" t="str">
        <f>HYPERLINK("http://www.openstreetmap.org/?mlat=34.1019&amp;mlon=44.8389&amp;zoom=12#map=12/34.1019/44.8389","Maplink1")</f>
        <v>Maplink1</v>
      </c>
      <c r="AW181" s="20" t="str">
        <f>HYPERLINK("https://www.google.iq/maps/search/+34.1019,44.8389/@34.1019,44.8389,14z?hl=en","Maplink2")</f>
        <v>Maplink2</v>
      </c>
      <c r="AX181" s="20" t="str">
        <f>HYPERLINK("http://www.bing.com/maps/?lvl=14&amp;sty=h&amp;cp=34.1019~44.8389&amp;sp=point.34.1019_44.8389_Habib Al-Khaizaran village","Maplink3")</f>
        <v>Maplink3</v>
      </c>
    </row>
    <row r="182" spans="1:50" x14ac:dyDescent="0.25">
      <c r="A182" s="9">
        <v>25676</v>
      </c>
      <c r="B182" s="10" t="s">
        <v>13</v>
      </c>
      <c r="C182" s="10" t="s">
        <v>263</v>
      </c>
      <c r="D182" s="10" t="s">
        <v>360</v>
      </c>
      <c r="E182" s="10" t="s">
        <v>1172</v>
      </c>
      <c r="F182" s="10">
        <v>34.027248630300001</v>
      </c>
      <c r="G182" s="10">
        <v>44.867671039000001</v>
      </c>
      <c r="H182" s="10" t="s">
        <v>265</v>
      </c>
      <c r="I182" s="10" t="s">
        <v>266</v>
      </c>
      <c r="J182" s="10"/>
      <c r="K182" s="11">
        <v>150</v>
      </c>
      <c r="L182" s="11">
        <v>900</v>
      </c>
      <c r="M182" s="11"/>
      <c r="N182" s="11"/>
      <c r="O182" s="11"/>
      <c r="P182" s="11"/>
      <c r="Q182" s="11"/>
      <c r="R182" s="11">
        <v>78</v>
      </c>
      <c r="S182" s="11"/>
      <c r="T182" s="11"/>
      <c r="U182" s="11">
        <v>50</v>
      </c>
      <c r="V182" s="11"/>
      <c r="W182" s="11"/>
      <c r="X182" s="11"/>
      <c r="Y182" s="11"/>
      <c r="Z182" s="11"/>
      <c r="AA182" s="11"/>
      <c r="AB182" s="11">
        <v>22</v>
      </c>
      <c r="AC182" s="11"/>
      <c r="AD182" s="11"/>
      <c r="AE182" s="11"/>
      <c r="AF182" s="11">
        <v>150</v>
      </c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>
        <v>150</v>
      </c>
      <c r="AT182" s="11"/>
      <c r="AU182" s="11"/>
      <c r="AV182" s="20" t="str">
        <f>HYPERLINK("http://www.openstreetmap.org/?mlat=34.0533&amp;mlon=44.8911&amp;zoom=12#map=12/34.0533/44.8911","Maplink1")</f>
        <v>Maplink1</v>
      </c>
      <c r="AW182" s="20" t="str">
        <f>HYPERLINK("https://www.google.iq/maps/search/+34.0533,44.8911/@34.0533,44.8911,14z?hl=en","Maplink2")</f>
        <v>Maplink2</v>
      </c>
      <c r="AX182" s="20" t="str">
        <f>HYPERLINK("http://www.bing.com/maps/?lvl=14&amp;sty=h&amp;cp=34.0533~44.8911&amp;sp=point.34.0533_44.8911_Hamada village-mansuria","Maplink3")</f>
        <v>Maplink3</v>
      </c>
    </row>
    <row r="183" spans="1:50" x14ac:dyDescent="0.25">
      <c r="A183" s="9">
        <v>25677</v>
      </c>
      <c r="B183" s="10" t="s">
        <v>13</v>
      </c>
      <c r="C183" s="10" t="s">
        <v>263</v>
      </c>
      <c r="D183" s="10" t="s">
        <v>361</v>
      </c>
      <c r="E183" s="10" t="s">
        <v>362</v>
      </c>
      <c r="F183" s="10">
        <v>34.024551135199999</v>
      </c>
      <c r="G183" s="10">
        <v>44.866167090200001</v>
      </c>
      <c r="H183" s="10" t="s">
        <v>265</v>
      </c>
      <c r="I183" s="10" t="s">
        <v>266</v>
      </c>
      <c r="J183" s="10"/>
      <c r="K183" s="11">
        <v>86</v>
      </c>
      <c r="L183" s="11">
        <v>516</v>
      </c>
      <c r="M183" s="11"/>
      <c r="N183" s="11"/>
      <c r="O183" s="11"/>
      <c r="P183" s="11"/>
      <c r="Q183" s="11"/>
      <c r="R183" s="11">
        <v>86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>
        <v>86</v>
      </c>
      <c r="AO183" s="11"/>
      <c r="AP183" s="11"/>
      <c r="AQ183" s="11"/>
      <c r="AR183" s="11"/>
      <c r="AS183" s="11">
        <v>86</v>
      </c>
      <c r="AT183" s="11"/>
      <c r="AU183" s="11"/>
      <c r="AV183" s="20" t="str">
        <f>HYPERLINK("http://www.openstreetmap.org/?mlat=34.0556&amp;mlon=44.8826&amp;zoom=12#map=12/34.0556/44.8826","Maplink1")</f>
        <v>Maplink1</v>
      </c>
      <c r="AW183" s="20" t="str">
        <f>HYPERLINK("https://www.google.iq/maps/search/+34.0556,44.8826/@34.0556,44.8826,14z?hl=en","Maplink2")</f>
        <v>Maplink2</v>
      </c>
      <c r="AX183" s="20" t="str">
        <f>HYPERLINK("http://www.bing.com/maps/?lvl=14&amp;sty=h&amp;cp=34.0556~44.8826&amp;sp=point.34.0556_44.8826_Hamza Al-najim village","Maplink3")</f>
        <v>Maplink3</v>
      </c>
    </row>
    <row r="184" spans="1:50" x14ac:dyDescent="0.25">
      <c r="A184" s="9">
        <v>27171</v>
      </c>
      <c r="B184" s="10" t="s">
        <v>13</v>
      </c>
      <c r="C184" s="10" t="s">
        <v>263</v>
      </c>
      <c r="D184" s="10" t="s">
        <v>363</v>
      </c>
      <c r="E184" s="10" t="s">
        <v>364</v>
      </c>
      <c r="F184" s="10">
        <v>34.306635361300003</v>
      </c>
      <c r="G184" s="10">
        <v>44.548739375300002</v>
      </c>
      <c r="H184" s="10" t="s">
        <v>265</v>
      </c>
      <c r="I184" s="10" t="s">
        <v>266</v>
      </c>
      <c r="J184" s="10"/>
      <c r="K184" s="11">
        <v>5</v>
      </c>
      <c r="L184" s="11">
        <v>30</v>
      </c>
      <c r="M184" s="11"/>
      <c r="N184" s="11"/>
      <c r="O184" s="11"/>
      <c r="P184" s="11"/>
      <c r="Q184" s="11"/>
      <c r="R184" s="11"/>
      <c r="S184" s="11"/>
      <c r="T184" s="11"/>
      <c r="U184" s="11">
        <v>5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>
        <v>5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>
        <v>5</v>
      </c>
      <c r="AR184" s="11"/>
      <c r="AS184" s="11"/>
      <c r="AT184" s="11"/>
      <c r="AU184" s="11"/>
      <c r="AV184" s="20" t="str">
        <f>HYPERLINK("http://www.openstreetmap.org/?mlat=34.1425&amp;mlon=44.3036&amp;zoom=12#map=12/34.1425/44.3036","Maplink1")</f>
        <v>Maplink1</v>
      </c>
      <c r="AW184" s="20" t="str">
        <f>HYPERLINK("https://www.google.iq/maps/search/+34.1425,44.3036/@34.1425,44.3036,14z?hl=en","Maplink2")</f>
        <v>Maplink2</v>
      </c>
      <c r="AX184" s="20" t="str">
        <f>HYPERLINK("http://www.bing.com/maps/?lvl=14&amp;sty=h&amp;cp=34.1425~44.3036&amp;sp=point.34.1425_44.3036_Hassan Al Habib village","Maplink3")</f>
        <v>Maplink3</v>
      </c>
    </row>
    <row r="185" spans="1:50" x14ac:dyDescent="0.25">
      <c r="A185" s="9">
        <v>27170</v>
      </c>
      <c r="B185" s="10" t="s">
        <v>13</v>
      </c>
      <c r="C185" s="10" t="s">
        <v>263</v>
      </c>
      <c r="D185" s="10" t="s">
        <v>365</v>
      </c>
      <c r="E185" s="10" t="s">
        <v>366</v>
      </c>
      <c r="F185" s="10">
        <v>34.219968067000003</v>
      </c>
      <c r="G185" s="10">
        <v>44.468399008299997</v>
      </c>
      <c r="H185" s="10" t="s">
        <v>265</v>
      </c>
      <c r="I185" s="10" t="s">
        <v>266</v>
      </c>
      <c r="J185" s="10"/>
      <c r="K185" s="11">
        <v>5</v>
      </c>
      <c r="L185" s="11">
        <v>30</v>
      </c>
      <c r="M185" s="11"/>
      <c r="N185" s="11"/>
      <c r="O185" s="11"/>
      <c r="P185" s="11"/>
      <c r="Q185" s="11"/>
      <c r="R185" s="11"/>
      <c r="S185" s="11"/>
      <c r="T185" s="11"/>
      <c r="U185" s="11">
        <v>5</v>
      </c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>
        <v>5</v>
      </c>
      <c r="AH185" s="11"/>
      <c r="AI185" s="11"/>
      <c r="AJ185" s="11"/>
      <c r="AK185" s="11"/>
      <c r="AL185" s="11"/>
      <c r="AM185" s="11"/>
      <c r="AN185" s="11"/>
      <c r="AO185" s="11"/>
      <c r="AP185" s="11"/>
      <c r="AQ185" s="11">
        <v>5</v>
      </c>
      <c r="AR185" s="11"/>
      <c r="AS185" s="11"/>
      <c r="AT185" s="11"/>
      <c r="AU185" s="11"/>
      <c r="AV185" s="20" t="str">
        <f>HYPERLINK("http://www.openstreetmap.org/?mlat=34.1425&amp;mlon=44.3036&amp;zoom=12#map=12/34.1425/44.3036","Maplink1")</f>
        <v>Maplink1</v>
      </c>
      <c r="AW185" s="20" t="str">
        <f>HYPERLINK("https://www.google.iq/maps/search/+34.1425,44.3036/@34.1425,44.3036,14z?hl=en","Maplink2")</f>
        <v>Maplink2</v>
      </c>
      <c r="AX185" s="20" t="str">
        <f>HYPERLINK("http://www.bing.com/maps/?lvl=14&amp;sty=h&amp;cp=34.1425~44.3036&amp;sp=point.34.1425_44.3036_Hassan Al Shamari village","Maplink3")</f>
        <v>Maplink3</v>
      </c>
    </row>
    <row r="186" spans="1:50" x14ac:dyDescent="0.25">
      <c r="A186" s="9">
        <v>27167</v>
      </c>
      <c r="B186" s="10" t="s">
        <v>13</v>
      </c>
      <c r="C186" s="10" t="s">
        <v>263</v>
      </c>
      <c r="D186" s="10" t="s">
        <v>957</v>
      </c>
      <c r="E186" s="10" t="s">
        <v>367</v>
      </c>
      <c r="F186" s="10">
        <v>34.204378947899997</v>
      </c>
      <c r="G186" s="10">
        <v>44.494994057600003</v>
      </c>
      <c r="H186" s="10" t="s">
        <v>265</v>
      </c>
      <c r="I186" s="10" t="s">
        <v>266</v>
      </c>
      <c r="J186" s="10"/>
      <c r="K186" s="11">
        <v>14</v>
      </c>
      <c r="L186" s="11">
        <v>84</v>
      </c>
      <c r="M186" s="11"/>
      <c r="N186" s="11"/>
      <c r="O186" s="11"/>
      <c r="P186" s="11"/>
      <c r="Q186" s="11"/>
      <c r="R186" s="11"/>
      <c r="S186" s="11"/>
      <c r="T186" s="11"/>
      <c r="U186" s="11">
        <v>14</v>
      </c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>
        <v>14</v>
      </c>
      <c r="AH186" s="11"/>
      <c r="AI186" s="11"/>
      <c r="AJ186" s="11"/>
      <c r="AK186" s="11"/>
      <c r="AL186" s="11"/>
      <c r="AM186" s="11"/>
      <c r="AN186" s="11"/>
      <c r="AO186" s="11"/>
      <c r="AP186" s="11"/>
      <c r="AQ186" s="11">
        <v>14</v>
      </c>
      <c r="AR186" s="11"/>
      <c r="AS186" s="11"/>
      <c r="AT186" s="11"/>
      <c r="AU186" s="11"/>
      <c r="AV186" s="20" t="str">
        <f>HYPERLINK("http://www.openstreetmap.org/?mlat=34.1425&amp;mlon=44.3036&amp;zoom=12#map=12/34.1425/44.3036","Maplink1")</f>
        <v>Maplink1</v>
      </c>
      <c r="AW186" s="20" t="str">
        <f>HYPERLINK("https://www.google.iq/maps/search/+34.1425,44.3036/@34.1425,44.3036,14z?hl=en","Maplink2")</f>
        <v>Maplink2</v>
      </c>
      <c r="AX186" s="20" t="str">
        <f>HYPERLINK("http://www.bing.com/maps/?lvl=14&amp;sty=h&amp;cp=34.1425~44.3036&amp;sp=point.34.1425_44.3036_Hassan Dhayi' village","Maplink3")</f>
        <v>Maplink3</v>
      </c>
    </row>
    <row r="187" spans="1:50" x14ac:dyDescent="0.25">
      <c r="A187" s="9">
        <v>27179</v>
      </c>
      <c r="B187" s="10" t="s">
        <v>13</v>
      </c>
      <c r="C187" s="10" t="s">
        <v>263</v>
      </c>
      <c r="D187" s="10" t="s">
        <v>374</v>
      </c>
      <c r="E187" s="10" t="s">
        <v>375</v>
      </c>
      <c r="F187" s="10">
        <v>34.238100000000003</v>
      </c>
      <c r="G187" s="10">
        <v>44.544199999999996</v>
      </c>
      <c r="H187" s="10" t="s">
        <v>265</v>
      </c>
      <c r="I187" s="10" t="s">
        <v>266</v>
      </c>
      <c r="J187" s="10"/>
      <c r="K187" s="11">
        <v>120</v>
      </c>
      <c r="L187" s="11">
        <v>720</v>
      </c>
      <c r="M187" s="11"/>
      <c r="N187" s="11"/>
      <c r="O187" s="11"/>
      <c r="P187" s="11"/>
      <c r="Q187" s="11"/>
      <c r="R187" s="11"/>
      <c r="S187" s="11"/>
      <c r="T187" s="11"/>
      <c r="U187" s="11">
        <v>120</v>
      </c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>
        <v>120</v>
      </c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v>120</v>
      </c>
      <c r="AR187" s="11"/>
      <c r="AS187" s="11"/>
      <c r="AT187" s="11"/>
      <c r="AU187" s="11"/>
      <c r="AV187" s="20" t="str">
        <f>HYPERLINK("http://www.openstreetmap.org/?mlat=34.1425&amp;mlon=44.3036&amp;zoom=12#map=12/34.1425/44.3036","Maplink1")</f>
        <v>Maplink1</v>
      </c>
      <c r="AW187" s="20" t="str">
        <f>HYPERLINK("https://www.google.iq/maps/search/+34.1425,44.3036/@34.1425,44.3036,14z?hl=en","Maplink2")</f>
        <v>Maplink2</v>
      </c>
      <c r="AX187" s="20" t="str">
        <f>HYPERLINK("http://www.bing.com/maps/?lvl=14&amp;sty=h&amp;cp=34.1425~44.3036&amp;sp=point.34.1425_44.3036_Jadhaif village","Maplink3")</f>
        <v>Maplink3</v>
      </c>
    </row>
    <row r="188" spans="1:50" x14ac:dyDescent="0.25">
      <c r="A188" s="9">
        <v>27154</v>
      </c>
      <c r="B188" s="10" t="s">
        <v>13</v>
      </c>
      <c r="C188" s="10" t="s">
        <v>263</v>
      </c>
      <c r="D188" s="10" t="s">
        <v>376</v>
      </c>
      <c r="E188" s="10" t="s">
        <v>377</v>
      </c>
      <c r="F188" s="10">
        <v>34.122356295199999</v>
      </c>
      <c r="G188" s="10">
        <v>44.597043058300002</v>
      </c>
      <c r="H188" s="10" t="s">
        <v>265</v>
      </c>
      <c r="I188" s="10" t="s">
        <v>266</v>
      </c>
      <c r="J188" s="10"/>
      <c r="K188" s="11">
        <v>47</v>
      </c>
      <c r="L188" s="11">
        <v>282</v>
      </c>
      <c r="M188" s="11"/>
      <c r="N188" s="11"/>
      <c r="O188" s="11"/>
      <c r="P188" s="11"/>
      <c r="Q188" s="11"/>
      <c r="R188" s="11"/>
      <c r="S188" s="11"/>
      <c r="T188" s="11"/>
      <c r="U188" s="11">
        <v>47</v>
      </c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>
        <v>47</v>
      </c>
      <c r="AO188" s="11"/>
      <c r="AP188" s="11"/>
      <c r="AQ188" s="11">
        <v>47</v>
      </c>
      <c r="AR188" s="11"/>
      <c r="AS188" s="11"/>
      <c r="AT188" s="11"/>
      <c r="AU188" s="11"/>
      <c r="AV188" s="20" t="str">
        <f>HYPERLINK("http://www.openstreetmap.org/?mlat=34.1425&amp;mlon=44.3036&amp;zoom=12#map=12/34.1425/44.3036","Maplink1")</f>
        <v>Maplink1</v>
      </c>
      <c r="AW188" s="20" t="str">
        <f>HYPERLINK("https://www.google.iq/maps/search/+34.1425,44.3036/@34.1425,44.3036,14z?hl=en","Maplink2")</f>
        <v>Maplink2</v>
      </c>
      <c r="AX188" s="20" t="str">
        <f>HYPERLINK("http://www.bing.com/maps/?lvl=14&amp;sty=h&amp;cp=34.1425~44.3036&amp;sp=point.34.1425_44.3036_Khan al Qarsa village","Maplink3")</f>
        <v>Maplink3</v>
      </c>
    </row>
    <row r="189" spans="1:50" x14ac:dyDescent="0.25">
      <c r="A189" s="9">
        <v>21221</v>
      </c>
      <c r="B189" s="10" t="s">
        <v>13</v>
      </c>
      <c r="C189" s="10" t="s">
        <v>263</v>
      </c>
      <c r="D189" s="10" t="s">
        <v>378</v>
      </c>
      <c r="E189" s="10" t="s">
        <v>379</v>
      </c>
      <c r="F189" s="10">
        <v>34.220855456300001</v>
      </c>
      <c r="G189" s="10">
        <v>44.531554183099999</v>
      </c>
      <c r="H189" s="10" t="s">
        <v>265</v>
      </c>
      <c r="I189" s="10" t="s">
        <v>266</v>
      </c>
      <c r="J189" s="10" t="s">
        <v>380</v>
      </c>
      <c r="K189" s="11">
        <v>55</v>
      </c>
      <c r="L189" s="11">
        <v>330</v>
      </c>
      <c r="M189" s="11"/>
      <c r="N189" s="11"/>
      <c r="O189" s="11"/>
      <c r="P189" s="11"/>
      <c r="Q189" s="11"/>
      <c r="R189" s="11"/>
      <c r="S189" s="11"/>
      <c r="T189" s="11"/>
      <c r="U189" s="11">
        <v>55</v>
      </c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>
        <v>55</v>
      </c>
      <c r="AH189" s="11"/>
      <c r="AI189" s="11"/>
      <c r="AJ189" s="11"/>
      <c r="AK189" s="11"/>
      <c r="AL189" s="11"/>
      <c r="AM189" s="11"/>
      <c r="AN189" s="11"/>
      <c r="AO189" s="11"/>
      <c r="AP189" s="11"/>
      <c r="AQ189" s="11">
        <v>55</v>
      </c>
      <c r="AR189" s="11"/>
      <c r="AS189" s="11"/>
      <c r="AT189" s="11"/>
      <c r="AU189" s="11"/>
      <c r="AV189" s="20" t="str">
        <f>HYPERLINK("http://www.openstreetmap.org/?mlat=34.1425&amp;mlon=44.3036&amp;zoom=12#map=12/34.1425/44.3036","Maplink1")</f>
        <v>Maplink1</v>
      </c>
      <c r="AW189" s="20" t="str">
        <f>HYPERLINK("https://www.google.iq/maps/search/+34.1425,44.3036/@34.1425,44.3036,14z?hl=en","Maplink2")</f>
        <v>Maplink2</v>
      </c>
      <c r="AX189" s="20" t="str">
        <f>HYPERLINK("http://www.bing.com/maps/?lvl=14&amp;sty=h&amp;cp=34.1425~44.3036&amp;sp=point.34.1425_44.3036_Khashim Zaror village","Maplink3")</f>
        <v>Maplink3</v>
      </c>
    </row>
    <row r="190" spans="1:50" x14ac:dyDescent="0.25">
      <c r="A190" s="9">
        <v>27243</v>
      </c>
      <c r="B190" s="10" t="s">
        <v>13</v>
      </c>
      <c r="C190" s="10" t="s">
        <v>263</v>
      </c>
      <c r="D190" s="10" t="s">
        <v>381</v>
      </c>
      <c r="E190" s="10" t="s">
        <v>382</v>
      </c>
      <c r="F190" s="10">
        <v>34.074099895899998</v>
      </c>
      <c r="G190" s="10">
        <v>44.965771639000003</v>
      </c>
      <c r="H190" s="10" t="s">
        <v>265</v>
      </c>
      <c r="I190" s="10" t="s">
        <v>266</v>
      </c>
      <c r="J190" s="10"/>
      <c r="K190" s="11">
        <v>800</v>
      </c>
      <c r="L190" s="11">
        <v>4800</v>
      </c>
      <c r="M190" s="11"/>
      <c r="N190" s="11"/>
      <c r="O190" s="11"/>
      <c r="P190" s="11"/>
      <c r="Q190" s="11"/>
      <c r="R190" s="11">
        <v>665</v>
      </c>
      <c r="S190" s="11">
        <v>10</v>
      </c>
      <c r="T190" s="11"/>
      <c r="U190" s="11">
        <v>100</v>
      </c>
      <c r="V190" s="11"/>
      <c r="W190" s="11"/>
      <c r="X190" s="11"/>
      <c r="Y190" s="11"/>
      <c r="Z190" s="11"/>
      <c r="AA190" s="11"/>
      <c r="AB190" s="11">
        <v>25</v>
      </c>
      <c r="AC190" s="11"/>
      <c r="AD190" s="11"/>
      <c r="AE190" s="11"/>
      <c r="AF190" s="11">
        <v>630</v>
      </c>
      <c r="AG190" s="11">
        <v>145</v>
      </c>
      <c r="AH190" s="11"/>
      <c r="AI190" s="11"/>
      <c r="AJ190" s="11"/>
      <c r="AK190" s="11"/>
      <c r="AL190" s="11"/>
      <c r="AM190" s="11"/>
      <c r="AN190" s="11">
        <v>25</v>
      </c>
      <c r="AO190" s="11"/>
      <c r="AP190" s="11"/>
      <c r="AQ190" s="11"/>
      <c r="AR190" s="11"/>
      <c r="AS190" s="11">
        <v>800</v>
      </c>
      <c r="AT190" s="11"/>
      <c r="AU190" s="11"/>
      <c r="AV190" s="20" t="str">
        <f>HYPERLINK("http://www.openstreetmap.org/?mlat=34.0807&amp;mlon=44.0958&amp;zoom=12#map=12/34.0807/44.0958","Maplink1")</f>
        <v>Maplink1</v>
      </c>
      <c r="AW190" s="20" t="str">
        <f>HYPERLINK("https://www.google.iq/maps/search/+34.0807,44.0958/@34.0807,44.0958,14z?hl=en","Maplink2")</f>
        <v>Maplink2</v>
      </c>
      <c r="AX190" s="20" t="str">
        <f>HYPERLINK("http://www.bing.com/maps/?lvl=14&amp;sty=h&amp;cp=34.0807~44.0958&amp;sp=point.34.0807_44.0958_Mansouriyat Algabal","Maplink3")</f>
        <v>Maplink3</v>
      </c>
    </row>
    <row r="191" spans="1:50" x14ac:dyDescent="0.25">
      <c r="A191" s="9">
        <v>27168</v>
      </c>
      <c r="B191" s="10" t="s">
        <v>13</v>
      </c>
      <c r="C191" s="10" t="s">
        <v>263</v>
      </c>
      <c r="D191" s="10" t="s">
        <v>383</v>
      </c>
      <c r="E191" s="10" t="s">
        <v>384</v>
      </c>
      <c r="F191" s="10">
        <v>34.1136995361</v>
      </c>
      <c r="G191" s="10">
        <v>44.505915601300003</v>
      </c>
      <c r="H191" s="10" t="s">
        <v>265</v>
      </c>
      <c r="I191" s="10" t="s">
        <v>266</v>
      </c>
      <c r="J191" s="10"/>
      <c r="K191" s="11">
        <v>10</v>
      </c>
      <c r="L191" s="11">
        <v>60</v>
      </c>
      <c r="M191" s="11"/>
      <c r="N191" s="11"/>
      <c r="O191" s="11"/>
      <c r="P191" s="11"/>
      <c r="Q191" s="11"/>
      <c r="R191" s="11"/>
      <c r="S191" s="11"/>
      <c r="T191" s="11"/>
      <c r="U191" s="11">
        <v>10</v>
      </c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>
        <v>10</v>
      </c>
      <c r="AH191" s="11"/>
      <c r="AI191" s="11"/>
      <c r="AJ191" s="11"/>
      <c r="AK191" s="11"/>
      <c r="AL191" s="11"/>
      <c r="AM191" s="11"/>
      <c r="AN191" s="11"/>
      <c r="AO191" s="11"/>
      <c r="AP191" s="11"/>
      <c r="AQ191" s="11">
        <v>10</v>
      </c>
      <c r="AR191" s="11"/>
      <c r="AS191" s="11"/>
      <c r="AT191" s="11"/>
      <c r="AU191" s="11"/>
      <c r="AV191" s="20" t="str">
        <f>HYPERLINK("http://www.openstreetmap.org/?mlat=34.1425&amp;mlon=44.3036&amp;zoom=12#map=12/34.1425/44.3036","Maplink1")</f>
        <v>Maplink1</v>
      </c>
      <c r="AW191" s="20" t="str">
        <f>HYPERLINK("https://www.google.iq/maps/search/+34.1425,44.3036/@34.1425,44.3036,14z?hl=en","Maplink2")</f>
        <v>Maplink2</v>
      </c>
      <c r="AX191" s="20" t="str">
        <f>HYPERLINK("http://www.bing.com/maps/?lvl=14&amp;sty=h&amp;cp=34.1425~44.3036&amp;sp=point.34.1425_44.3036_Mijbas village","Maplink3")</f>
        <v>Maplink3</v>
      </c>
    </row>
    <row r="192" spans="1:50" x14ac:dyDescent="0.25">
      <c r="A192" s="9">
        <v>25682</v>
      </c>
      <c r="B192" s="10" t="s">
        <v>13</v>
      </c>
      <c r="C192" s="10" t="s">
        <v>263</v>
      </c>
      <c r="D192" s="10" t="s">
        <v>385</v>
      </c>
      <c r="E192" s="10" t="s">
        <v>386</v>
      </c>
      <c r="F192" s="10">
        <v>34.0489616152</v>
      </c>
      <c r="G192" s="10">
        <v>44.887329116499998</v>
      </c>
      <c r="H192" s="10" t="s">
        <v>265</v>
      </c>
      <c r="I192" s="10" t="s">
        <v>266</v>
      </c>
      <c r="J192" s="10"/>
      <c r="K192" s="11">
        <v>250</v>
      </c>
      <c r="L192" s="11">
        <v>1500</v>
      </c>
      <c r="M192" s="11"/>
      <c r="N192" s="11"/>
      <c r="O192" s="11"/>
      <c r="P192" s="11"/>
      <c r="Q192" s="11"/>
      <c r="R192" s="11">
        <v>130</v>
      </c>
      <c r="S192" s="11"/>
      <c r="T192" s="11"/>
      <c r="U192" s="11">
        <v>60</v>
      </c>
      <c r="V192" s="11"/>
      <c r="W192" s="11"/>
      <c r="X192" s="11"/>
      <c r="Y192" s="11"/>
      <c r="Z192" s="11"/>
      <c r="AA192" s="11"/>
      <c r="AB192" s="11">
        <v>60</v>
      </c>
      <c r="AC192" s="11"/>
      <c r="AD192" s="11"/>
      <c r="AE192" s="11"/>
      <c r="AF192" s="11">
        <v>150</v>
      </c>
      <c r="AG192" s="11"/>
      <c r="AH192" s="11"/>
      <c r="AI192" s="11"/>
      <c r="AJ192" s="11"/>
      <c r="AK192" s="11"/>
      <c r="AL192" s="11"/>
      <c r="AM192" s="11"/>
      <c r="AN192" s="11">
        <v>100</v>
      </c>
      <c r="AO192" s="11"/>
      <c r="AP192" s="11"/>
      <c r="AQ192" s="11"/>
      <c r="AR192" s="11"/>
      <c r="AS192" s="11">
        <v>250</v>
      </c>
      <c r="AT192" s="11"/>
      <c r="AU192" s="11"/>
      <c r="AV192" s="20" t="str">
        <f>HYPERLINK("http://www.openstreetmap.org/?mlat=34.0603&amp;mlon=44.8836&amp;zoom=12#map=12/34.0603/44.8836","Maplink1")</f>
        <v>Maplink1</v>
      </c>
      <c r="AW192" s="20" t="str">
        <f>HYPERLINK("https://www.google.iq/maps/search/+34.0603,44.8836/@34.0603,44.8836,14z?hl=en","Maplink2")</f>
        <v>Maplink2</v>
      </c>
      <c r="AX192" s="20" t="str">
        <f>HYPERLINK("http://www.bing.com/maps/?lvl=14&amp;sty=h&amp;cp=34.0603~44.8836&amp;sp=point.34.0603_44.8836_Muhammad ali village","Maplink3")</f>
        <v>Maplink3</v>
      </c>
    </row>
    <row r="193" spans="1:50" x14ac:dyDescent="0.25">
      <c r="A193" s="9">
        <v>25683</v>
      </c>
      <c r="B193" s="10" t="s">
        <v>13</v>
      </c>
      <c r="C193" s="10" t="s">
        <v>263</v>
      </c>
      <c r="D193" s="10" t="s">
        <v>387</v>
      </c>
      <c r="E193" s="10" t="s">
        <v>388</v>
      </c>
      <c r="F193" s="10">
        <v>34.034905373100003</v>
      </c>
      <c r="G193" s="10">
        <v>44.874784592499999</v>
      </c>
      <c r="H193" s="10" t="s">
        <v>265</v>
      </c>
      <c r="I193" s="10" t="s">
        <v>266</v>
      </c>
      <c r="J193" s="10"/>
      <c r="K193" s="11">
        <v>200</v>
      </c>
      <c r="L193" s="11">
        <v>1200</v>
      </c>
      <c r="M193" s="11"/>
      <c r="N193" s="11"/>
      <c r="O193" s="11"/>
      <c r="P193" s="11"/>
      <c r="Q193" s="11"/>
      <c r="R193" s="11">
        <v>126</v>
      </c>
      <c r="S193" s="11"/>
      <c r="T193" s="11"/>
      <c r="U193" s="11">
        <v>35</v>
      </c>
      <c r="V193" s="11"/>
      <c r="W193" s="11"/>
      <c r="X193" s="11"/>
      <c r="Y193" s="11"/>
      <c r="Z193" s="11"/>
      <c r="AA193" s="11"/>
      <c r="AB193" s="11">
        <v>39</v>
      </c>
      <c r="AC193" s="11"/>
      <c r="AD193" s="11"/>
      <c r="AE193" s="11"/>
      <c r="AF193" s="11">
        <v>143</v>
      </c>
      <c r="AG193" s="11"/>
      <c r="AH193" s="11"/>
      <c r="AI193" s="11"/>
      <c r="AJ193" s="11"/>
      <c r="AK193" s="11"/>
      <c r="AL193" s="11"/>
      <c r="AM193" s="11"/>
      <c r="AN193" s="11">
        <v>57</v>
      </c>
      <c r="AO193" s="11"/>
      <c r="AP193" s="11"/>
      <c r="AQ193" s="11"/>
      <c r="AR193" s="11"/>
      <c r="AS193" s="11">
        <v>200</v>
      </c>
      <c r="AT193" s="11"/>
      <c r="AU193" s="11"/>
      <c r="AV193" s="20" t="str">
        <f>HYPERLINK("http://www.openstreetmap.org/?mlat=34.0574&amp;mlon=44.8913&amp;zoom=12#map=12/34.0574/44.8913","Maplink1")</f>
        <v>Maplink1</v>
      </c>
      <c r="AW193" s="20" t="str">
        <f>HYPERLINK("https://www.google.iq/maps/search/+34.0574,44.8913/@34.0574,44.8913,14z?hl=en","Maplink2")</f>
        <v>Maplink2</v>
      </c>
      <c r="AX193" s="20" t="str">
        <f>HYPERLINK("http://www.bing.com/maps/?lvl=14&amp;sty=h&amp;cp=34.0574~44.8913&amp;sp=point.34.0574_44.8913_Muhammad taha village","Maplink3")</f>
        <v>Maplink3</v>
      </c>
    </row>
    <row r="194" spans="1:50" x14ac:dyDescent="0.25">
      <c r="A194" s="9">
        <v>25684</v>
      </c>
      <c r="B194" s="10" t="s">
        <v>13</v>
      </c>
      <c r="C194" s="10" t="s">
        <v>263</v>
      </c>
      <c r="D194" s="10" t="s">
        <v>958</v>
      </c>
      <c r="E194" s="10" t="s">
        <v>389</v>
      </c>
      <c r="F194" s="10">
        <v>34.039342375499999</v>
      </c>
      <c r="G194" s="10">
        <v>44.8798900098</v>
      </c>
      <c r="H194" s="10" t="s">
        <v>265</v>
      </c>
      <c r="I194" s="10" t="s">
        <v>266</v>
      </c>
      <c r="J194" s="10"/>
      <c r="K194" s="11">
        <v>182</v>
      </c>
      <c r="L194" s="11">
        <v>1092</v>
      </c>
      <c r="M194" s="11"/>
      <c r="N194" s="11"/>
      <c r="O194" s="11"/>
      <c r="P194" s="11"/>
      <c r="Q194" s="11"/>
      <c r="R194" s="11">
        <v>182</v>
      </c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>
        <v>182</v>
      </c>
      <c r="AO194" s="11"/>
      <c r="AP194" s="11"/>
      <c r="AQ194" s="11"/>
      <c r="AR194" s="11"/>
      <c r="AS194" s="11">
        <v>182</v>
      </c>
      <c r="AT194" s="11"/>
      <c r="AU194" s="11"/>
      <c r="AV194" s="20" t="str">
        <f>HYPERLINK("http://www.openstreetmap.org/?mlat=34.0557&amp;mlon=44.8857&amp;zoom=12#map=12/34.0557/44.8857","Maplink1")</f>
        <v>Maplink1</v>
      </c>
      <c r="AW194" s="20" t="str">
        <f>HYPERLINK("https://www.google.iq/maps/search/+34.0557,44.8857/@34.0557,44.8857,14z?hl=en","Maplink2")</f>
        <v>Maplink2</v>
      </c>
      <c r="AX194" s="20" t="str">
        <f>HYPERLINK("http://www.bing.com/maps/?lvl=14&amp;sty=h&amp;cp=34.0557~44.8857&amp;sp=point.34.0557_44.8857_Najim Al-abdullah village","Maplink3")</f>
        <v>Maplink3</v>
      </c>
    </row>
    <row r="195" spans="1:50" x14ac:dyDescent="0.25">
      <c r="A195" s="9">
        <v>27184</v>
      </c>
      <c r="B195" s="10" t="s">
        <v>13</v>
      </c>
      <c r="C195" s="10" t="s">
        <v>263</v>
      </c>
      <c r="D195" s="10" t="s">
        <v>390</v>
      </c>
      <c r="E195" s="10" t="s">
        <v>391</v>
      </c>
      <c r="F195" s="10">
        <v>34.237330974599999</v>
      </c>
      <c r="G195" s="10">
        <v>44.544709253299999</v>
      </c>
      <c r="H195" s="10" t="s">
        <v>265</v>
      </c>
      <c r="I195" s="10" t="s">
        <v>266</v>
      </c>
      <c r="J195" s="10"/>
      <c r="K195" s="11">
        <v>22</v>
      </c>
      <c r="L195" s="11">
        <v>132</v>
      </c>
      <c r="M195" s="11"/>
      <c r="N195" s="11"/>
      <c r="O195" s="11"/>
      <c r="P195" s="11"/>
      <c r="Q195" s="11"/>
      <c r="R195" s="11"/>
      <c r="S195" s="11"/>
      <c r="T195" s="11"/>
      <c r="U195" s="11">
        <v>22</v>
      </c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>
        <v>22</v>
      </c>
      <c r="AH195" s="11"/>
      <c r="AI195" s="11"/>
      <c r="AJ195" s="11"/>
      <c r="AK195" s="11"/>
      <c r="AL195" s="11"/>
      <c r="AM195" s="11"/>
      <c r="AN195" s="11"/>
      <c r="AO195" s="11"/>
      <c r="AP195" s="11"/>
      <c r="AQ195" s="11">
        <v>22</v>
      </c>
      <c r="AR195" s="11"/>
      <c r="AS195" s="11"/>
      <c r="AT195" s="11"/>
      <c r="AU195" s="11"/>
      <c r="AV195" s="20" t="str">
        <f>HYPERLINK("http://www.openstreetmap.org/?mlat=34.1425&amp;mlon=44.3036&amp;zoom=12#map=12/34.1425/44.3036","Maplink1")</f>
        <v>Maplink1</v>
      </c>
      <c r="AW195" s="20" t="str">
        <f>HYPERLINK("https://www.google.iq/maps/search/+34.1425,44.3036/@34.1425,44.3036,14z?hl=en","Maplink2")</f>
        <v>Maplink2</v>
      </c>
      <c r="AX195" s="20" t="str">
        <f>HYPERLINK("http://www.bing.com/maps/?lvl=14&amp;sty=h&amp;cp=34.1425~44.3036&amp;sp=point.34.1425_44.3036_Noori Al Noman village","Maplink3")</f>
        <v>Maplink3</v>
      </c>
    </row>
    <row r="196" spans="1:50" x14ac:dyDescent="0.25">
      <c r="A196" s="9">
        <v>27175</v>
      </c>
      <c r="B196" s="10" t="s">
        <v>13</v>
      </c>
      <c r="C196" s="10" t="s">
        <v>263</v>
      </c>
      <c r="D196" s="10" t="s">
        <v>392</v>
      </c>
      <c r="E196" s="10" t="s">
        <v>393</v>
      </c>
      <c r="F196" s="10">
        <v>34.209099999999999</v>
      </c>
      <c r="G196" s="10">
        <v>44.493099999999998</v>
      </c>
      <c r="H196" s="10" t="s">
        <v>265</v>
      </c>
      <c r="I196" s="10" t="s">
        <v>266</v>
      </c>
      <c r="J196" s="10"/>
      <c r="K196" s="11">
        <v>60</v>
      </c>
      <c r="L196" s="11">
        <v>360</v>
      </c>
      <c r="M196" s="11"/>
      <c r="N196" s="11"/>
      <c r="O196" s="11"/>
      <c r="P196" s="11"/>
      <c r="Q196" s="11"/>
      <c r="R196" s="11"/>
      <c r="S196" s="11"/>
      <c r="T196" s="11"/>
      <c r="U196" s="11">
        <v>60</v>
      </c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>
        <v>60</v>
      </c>
      <c r="AH196" s="11"/>
      <c r="AI196" s="11"/>
      <c r="AJ196" s="11"/>
      <c r="AK196" s="11"/>
      <c r="AL196" s="11"/>
      <c r="AM196" s="11"/>
      <c r="AN196" s="11"/>
      <c r="AO196" s="11"/>
      <c r="AP196" s="11"/>
      <c r="AQ196" s="11">
        <v>60</v>
      </c>
      <c r="AR196" s="11"/>
      <c r="AS196" s="11"/>
      <c r="AT196" s="11"/>
      <c r="AU196" s="11"/>
      <c r="AV196" s="20" t="str">
        <f>HYPERLINK("http://www.openstreetmap.org/?mlat=34.1425&amp;mlon=44.3036&amp;zoom=12#map=12/34.1425/44.3036","Maplink1")</f>
        <v>Maplink1</v>
      </c>
      <c r="AW196" s="20" t="str">
        <f>HYPERLINK("https://www.google.iq/maps/search/+34.1425,44.3036/@34.1425,44.3036,14z?hl=en","Maplink2")</f>
        <v>Maplink2</v>
      </c>
      <c r="AX196" s="20" t="str">
        <f>HYPERLINK("http://www.bing.com/maps/?lvl=14&amp;sty=h&amp;cp=34.1425~44.3036&amp;sp=point.34.1425_44.3036_Sfait village","Maplink3")</f>
        <v>Maplink3</v>
      </c>
    </row>
    <row r="197" spans="1:50" x14ac:dyDescent="0.25">
      <c r="A197" s="9">
        <v>28461</v>
      </c>
      <c r="B197" s="10" t="s">
        <v>13</v>
      </c>
      <c r="C197" s="10" t="s">
        <v>263</v>
      </c>
      <c r="D197" s="10" t="s">
        <v>394</v>
      </c>
      <c r="E197" s="10" t="s">
        <v>395</v>
      </c>
      <c r="F197" s="10">
        <v>34.265300000000003</v>
      </c>
      <c r="G197" s="10">
        <v>44.529200000000003</v>
      </c>
      <c r="H197" s="10" t="s">
        <v>265</v>
      </c>
      <c r="I197" s="10" t="s">
        <v>266</v>
      </c>
      <c r="J197" s="10"/>
      <c r="K197" s="11">
        <v>75</v>
      </c>
      <c r="L197" s="11">
        <v>450</v>
      </c>
      <c r="M197" s="11"/>
      <c r="N197" s="11"/>
      <c r="O197" s="11"/>
      <c r="P197" s="11"/>
      <c r="Q197" s="11"/>
      <c r="R197" s="11">
        <v>75</v>
      </c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>
        <v>75</v>
      </c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>
        <v>75</v>
      </c>
      <c r="AR197" s="11"/>
      <c r="AS197" s="11"/>
      <c r="AT197" s="11"/>
      <c r="AU197" s="11"/>
      <c r="AV197" s="20" t="str">
        <f>HYPERLINK("http://www.openstreetmap.org/?mlat=34.1425&amp;mlon=44.3036&amp;zoom=12#map=12/34.1425/44.3036","Maplink1")</f>
        <v>Maplink1</v>
      </c>
      <c r="AW197" s="20" t="str">
        <f>HYPERLINK("https://www.google.iq/maps/search/+34.1425,44.3036/@34.1425,44.3036,14z?hl=en","Maplink2")</f>
        <v>Maplink2</v>
      </c>
      <c r="AX197" s="20" t="str">
        <f>HYPERLINK("http://www.bing.com/maps/?lvl=14&amp;sty=h&amp;cp=34.1425~44.3036&amp;sp=point.34.1425_44.3036_Al Angaa","Maplink3")</f>
        <v>Maplink3</v>
      </c>
    </row>
    <row r="198" spans="1:50" x14ac:dyDescent="0.25">
      <c r="A198" s="9">
        <v>27161</v>
      </c>
      <c r="B198" s="10" t="s">
        <v>13</v>
      </c>
      <c r="C198" s="10" t="s">
        <v>263</v>
      </c>
      <c r="D198" s="10" t="s">
        <v>397</v>
      </c>
      <c r="E198" s="10" t="s">
        <v>398</v>
      </c>
      <c r="F198" s="10">
        <v>34.2791</v>
      </c>
      <c r="G198" s="10">
        <v>44.521799999999999</v>
      </c>
      <c r="H198" s="10" t="s">
        <v>265</v>
      </c>
      <c r="I198" s="10" t="s">
        <v>266</v>
      </c>
      <c r="J198" s="10"/>
      <c r="K198" s="11">
        <v>90</v>
      </c>
      <c r="L198" s="11">
        <v>540</v>
      </c>
      <c r="M198" s="11"/>
      <c r="N198" s="11"/>
      <c r="O198" s="11"/>
      <c r="P198" s="11"/>
      <c r="Q198" s="11"/>
      <c r="R198" s="11"/>
      <c r="S198" s="11"/>
      <c r="T198" s="11"/>
      <c r="U198" s="11">
        <v>90</v>
      </c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>
        <v>90</v>
      </c>
      <c r="AH198" s="11"/>
      <c r="AI198" s="11"/>
      <c r="AJ198" s="11"/>
      <c r="AK198" s="11"/>
      <c r="AL198" s="11"/>
      <c r="AM198" s="11"/>
      <c r="AN198" s="11"/>
      <c r="AO198" s="11"/>
      <c r="AP198" s="11"/>
      <c r="AQ198" s="11">
        <v>90</v>
      </c>
      <c r="AR198" s="11"/>
      <c r="AS198" s="11"/>
      <c r="AT198" s="11"/>
      <c r="AU198" s="11"/>
      <c r="AV198" s="20" t="str">
        <f>HYPERLINK("http://www.openstreetmap.org/?mlat=34.1425&amp;mlon=44.3036&amp;zoom=12#map=12/34.1425/44.3036","Maplink1")</f>
        <v>Maplink1</v>
      </c>
      <c r="AW198" s="20" t="str">
        <f>HYPERLINK("https://www.google.iq/maps/search/+34.1425,44.3036/@34.1425,44.3036,14z?hl=en","Maplink2")</f>
        <v>Maplink2</v>
      </c>
      <c r="AX198" s="20" t="str">
        <f>HYPERLINK("http://www.bing.com/maps/?lvl=14&amp;sty=h&amp;cp=34.1425~44.3036&amp;sp=point.34.1425_44.3036_Shkej village","Maplink3")</f>
        <v>Maplink3</v>
      </c>
    </row>
    <row r="199" spans="1:50" x14ac:dyDescent="0.25">
      <c r="A199" s="9">
        <v>28470</v>
      </c>
      <c r="B199" s="10" t="s">
        <v>13</v>
      </c>
      <c r="C199" s="10" t="s">
        <v>263</v>
      </c>
      <c r="D199" s="10" t="s">
        <v>399</v>
      </c>
      <c r="E199" s="10" t="s">
        <v>400</v>
      </c>
      <c r="F199" s="10">
        <v>34.176217126600001</v>
      </c>
      <c r="G199" s="10">
        <v>44.424383835699999</v>
      </c>
      <c r="H199" s="10" t="s">
        <v>265</v>
      </c>
      <c r="I199" s="10" t="s">
        <v>266</v>
      </c>
      <c r="J199" s="10"/>
      <c r="K199" s="11">
        <v>43</v>
      </c>
      <c r="L199" s="11">
        <v>258</v>
      </c>
      <c r="M199" s="11"/>
      <c r="N199" s="11"/>
      <c r="O199" s="11"/>
      <c r="P199" s="11"/>
      <c r="Q199" s="11"/>
      <c r="R199" s="11">
        <v>43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>
        <v>43</v>
      </c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>
        <v>43</v>
      </c>
      <c r="AR199" s="11"/>
      <c r="AS199" s="11"/>
      <c r="AT199" s="11"/>
      <c r="AU199" s="11"/>
      <c r="AV199" s="20" t="str">
        <f>HYPERLINK("http://www.openstreetmap.org/?mlat=34.1425&amp;mlon=44.3036&amp;zoom=12#map=12/34.1425/44.3036","Maplink1")</f>
        <v>Maplink1</v>
      </c>
      <c r="AW199" s="20" t="str">
        <f>HYPERLINK("https://www.google.iq/maps/search/+34.1425,44.3036/@34.1425,44.3036,14z?hl=en","Maplink2")</f>
        <v>Maplink2</v>
      </c>
      <c r="AX199" s="20" t="str">
        <f>HYPERLINK("http://www.bing.com/maps/?lvl=14&amp;sty=h&amp;cp=34.1425~44.3036&amp;sp=point.34.1425_44.3036_Al Angaa","Maplink3")</f>
        <v>Maplink3</v>
      </c>
    </row>
    <row r="200" spans="1:50" x14ac:dyDescent="0.25">
      <c r="A200" s="9">
        <v>27169</v>
      </c>
      <c r="B200" s="10" t="s">
        <v>13</v>
      </c>
      <c r="C200" s="10" t="s">
        <v>263</v>
      </c>
      <c r="D200" s="10" t="s">
        <v>401</v>
      </c>
      <c r="E200" s="10" t="s">
        <v>402</v>
      </c>
      <c r="F200" s="10">
        <v>34.146352327999999</v>
      </c>
      <c r="G200" s="10">
        <v>44.491328989099998</v>
      </c>
      <c r="H200" s="10" t="s">
        <v>265</v>
      </c>
      <c r="I200" s="10" t="s">
        <v>266</v>
      </c>
      <c r="J200" s="10"/>
      <c r="K200" s="11">
        <v>7</v>
      </c>
      <c r="L200" s="11">
        <v>42</v>
      </c>
      <c r="M200" s="11"/>
      <c r="N200" s="11"/>
      <c r="O200" s="11"/>
      <c r="P200" s="11"/>
      <c r="Q200" s="11"/>
      <c r="R200" s="11"/>
      <c r="S200" s="11"/>
      <c r="T200" s="11"/>
      <c r="U200" s="11">
        <v>7</v>
      </c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>
        <v>7</v>
      </c>
      <c r="AH200" s="11"/>
      <c r="AI200" s="11"/>
      <c r="AJ200" s="11"/>
      <c r="AK200" s="11"/>
      <c r="AL200" s="11"/>
      <c r="AM200" s="11"/>
      <c r="AN200" s="11"/>
      <c r="AO200" s="11"/>
      <c r="AP200" s="11"/>
      <c r="AQ200" s="11">
        <v>7</v>
      </c>
      <c r="AR200" s="11"/>
      <c r="AS200" s="11"/>
      <c r="AT200" s="11"/>
      <c r="AU200" s="11"/>
      <c r="AV200" s="20" t="str">
        <f>HYPERLINK("http://www.openstreetmap.org/?mlat=34.1425&amp;mlon=44.3036&amp;zoom=12#map=12/34.1425/44.3036","Maplink1")</f>
        <v>Maplink1</v>
      </c>
      <c r="AW200" s="20" t="str">
        <f>HYPERLINK("https://www.google.iq/maps/search/+34.1425,44.3036/@34.1425,44.3036,14z?hl=en","Maplink2")</f>
        <v>Maplink2</v>
      </c>
      <c r="AX200" s="20" t="str">
        <f>HYPERLINK("http://www.bing.com/maps/?lvl=14&amp;sty=h&amp;cp=34.1425~44.3036&amp;sp=point.34.1425_44.3036_Sohail Mahal village","Maplink3")</f>
        <v>Maplink3</v>
      </c>
    </row>
    <row r="201" spans="1:50" x14ac:dyDescent="0.25">
      <c r="A201" s="9">
        <v>25669</v>
      </c>
      <c r="B201" s="10" t="s">
        <v>13</v>
      </c>
      <c r="C201" s="10" t="s">
        <v>263</v>
      </c>
      <c r="D201" s="10" t="s">
        <v>403</v>
      </c>
      <c r="E201" s="10" t="s">
        <v>404</v>
      </c>
      <c r="F201" s="10">
        <v>34.056919016899997</v>
      </c>
      <c r="G201" s="10">
        <v>44.884461835000003</v>
      </c>
      <c r="H201" s="10" t="s">
        <v>265</v>
      </c>
      <c r="I201" s="10" t="s">
        <v>266</v>
      </c>
      <c r="J201" s="10"/>
      <c r="K201" s="11">
        <v>200</v>
      </c>
      <c r="L201" s="11">
        <v>1200</v>
      </c>
      <c r="M201" s="11"/>
      <c r="N201" s="11"/>
      <c r="O201" s="11"/>
      <c r="P201" s="11"/>
      <c r="Q201" s="11"/>
      <c r="R201" s="11">
        <v>83</v>
      </c>
      <c r="S201" s="11"/>
      <c r="T201" s="11"/>
      <c r="U201" s="11">
        <v>45</v>
      </c>
      <c r="V201" s="11"/>
      <c r="W201" s="11"/>
      <c r="X201" s="11"/>
      <c r="Y201" s="11"/>
      <c r="Z201" s="11"/>
      <c r="AA201" s="11"/>
      <c r="AB201" s="11">
        <v>72</v>
      </c>
      <c r="AC201" s="11"/>
      <c r="AD201" s="11"/>
      <c r="AE201" s="11"/>
      <c r="AF201" s="11">
        <v>180</v>
      </c>
      <c r="AG201" s="11"/>
      <c r="AH201" s="11"/>
      <c r="AI201" s="11"/>
      <c r="AJ201" s="11"/>
      <c r="AK201" s="11"/>
      <c r="AL201" s="11"/>
      <c r="AM201" s="11"/>
      <c r="AN201" s="11">
        <v>20</v>
      </c>
      <c r="AO201" s="11"/>
      <c r="AP201" s="11"/>
      <c r="AQ201" s="11"/>
      <c r="AR201" s="11"/>
      <c r="AS201" s="11">
        <v>200</v>
      </c>
      <c r="AT201" s="11"/>
      <c r="AU201" s="11"/>
      <c r="AV201" s="20" t="str">
        <f>HYPERLINK("http://www.openstreetmap.org/?mlat=34.0645&amp;mlon=44.8819&amp;zoom=12#map=12/34.0645/44.8819","Maplink1")</f>
        <v>Maplink1</v>
      </c>
      <c r="AW201" s="20" t="str">
        <f>HYPERLINK("https://www.google.iq/maps/search/+34.0645,44.8819/@34.0645,44.8819,14z?hl=en","Maplink2")</f>
        <v>Maplink2</v>
      </c>
      <c r="AX201" s="20" t="str">
        <f>HYPERLINK("http://www.bing.com/maps/?lvl=14&amp;sty=h&amp;cp=34.0645~44.8819&amp;sp=point.34.0645_44.8819_Somair village","Maplink3")</f>
        <v>Maplink3</v>
      </c>
    </row>
    <row r="202" spans="1:50" x14ac:dyDescent="0.25">
      <c r="A202" s="9">
        <v>11270</v>
      </c>
      <c r="B202" s="10" t="s">
        <v>13</v>
      </c>
      <c r="C202" s="10" t="s">
        <v>263</v>
      </c>
      <c r="D202" s="10" t="s">
        <v>405</v>
      </c>
      <c r="E202" s="10" t="s">
        <v>406</v>
      </c>
      <c r="F202" s="10">
        <v>34.364685406699998</v>
      </c>
      <c r="G202" s="10">
        <v>44.601793208099998</v>
      </c>
      <c r="H202" s="10" t="s">
        <v>265</v>
      </c>
      <c r="I202" s="10" t="s">
        <v>266</v>
      </c>
      <c r="J202" s="10" t="s">
        <v>407</v>
      </c>
      <c r="K202" s="11">
        <v>100</v>
      </c>
      <c r="L202" s="11">
        <v>600</v>
      </c>
      <c r="M202" s="11"/>
      <c r="N202" s="11"/>
      <c r="O202" s="11"/>
      <c r="P202" s="11"/>
      <c r="Q202" s="11"/>
      <c r="R202" s="11"/>
      <c r="S202" s="11"/>
      <c r="T202" s="11"/>
      <c r="U202" s="11">
        <v>100</v>
      </c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>
        <v>100</v>
      </c>
      <c r="AH202" s="11"/>
      <c r="AI202" s="11"/>
      <c r="AJ202" s="11"/>
      <c r="AK202" s="11"/>
      <c r="AL202" s="11"/>
      <c r="AM202" s="11"/>
      <c r="AN202" s="11"/>
      <c r="AO202" s="11"/>
      <c r="AP202" s="11"/>
      <c r="AQ202" s="11">
        <v>100</v>
      </c>
      <c r="AR202" s="11"/>
      <c r="AS202" s="11"/>
      <c r="AT202" s="11"/>
      <c r="AU202" s="11"/>
      <c r="AV202" s="20" t="str">
        <f>HYPERLINK("http://www.openstreetmap.org/?mlat=34.1425&amp;mlon=44.3036&amp;zoom=12#map=12/34.1425/44.3036","Maplink1")</f>
        <v>Maplink1</v>
      </c>
      <c r="AW202" s="20" t="str">
        <f>HYPERLINK("https://www.google.iq/maps/search/+34.1425,44.3036/@34.1425,44.3036,14z?hl=en","Maplink2")</f>
        <v>Maplink2</v>
      </c>
      <c r="AX202" s="20" t="str">
        <f>HYPERLINK("http://www.bing.com/maps/?lvl=14&amp;sty=h&amp;cp=34.1425~44.3036&amp;sp=point.34.1425_44.3036_Um al Hawali village","Maplink3")</f>
        <v>Maplink3</v>
      </c>
    </row>
    <row r="203" spans="1:50" x14ac:dyDescent="0.25">
      <c r="A203" s="9">
        <v>27180</v>
      </c>
      <c r="B203" s="10" t="s">
        <v>13</v>
      </c>
      <c r="C203" s="10" t="s">
        <v>263</v>
      </c>
      <c r="D203" s="10" t="s">
        <v>408</v>
      </c>
      <c r="E203" s="10" t="s">
        <v>409</v>
      </c>
      <c r="F203" s="10">
        <v>34.211755483399998</v>
      </c>
      <c r="G203" s="10">
        <v>44.486033348399999</v>
      </c>
      <c r="H203" s="10" t="s">
        <v>265</v>
      </c>
      <c r="I203" s="10" t="s">
        <v>266</v>
      </c>
      <c r="J203" s="10"/>
      <c r="K203" s="11">
        <v>120</v>
      </c>
      <c r="L203" s="11">
        <v>720</v>
      </c>
      <c r="M203" s="11"/>
      <c r="N203" s="11"/>
      <c r="O203" s="11"/>
      <c r="P203" s="11"/>
      <c r="Q203" s="11"/>
      <c r="R203" s="11">
        <v>40</v>
      </c>
      <c r="S203" s="11"/>
      <c r="T203" s="11"/>
      <c r="U203" s="11">
        <v>80</v>
      </c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>
        <v>120</v>
      </c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>
        <v>120</v>
      </c>
      <c r="AR203" s="11"/>
      <c r="AS203" s="11"/>
      <c r="AT203" s="11"/>
      <c r="AU203" s="11"/>
      <c r="AV203" s="20" t="str">
        <f>HYPERLINK("http://www.openstreetmap.org/?mlat=34.1425&amp;mlon=44.3036&amp;zoom=12#map=12/34.1425/44.3036","Maplink1")</f>
        <v>Maplink1</v>
      </c>
      <c r="AW203" s="20" t="str">
        <f>HYPERLINK("https://www.google.iq/maps/search/+34.1425,44.3036/@34.1425,44.3036,14z?hl=en","Maplink2")</f>
        <v>Maplink2</v>
      </c>
      <c r="AX203" s="20" t="str">
        <f>HYPERLINK("http://www.bing.com/maps/?lvl=14&amp;sty=h&amp;cp=34.1425~44.3036&amp;sp=point.34.1425_44.3036_Um Al Karami village","Maplink3")</f>
        <v>Maplink3</v>
      </c>
    </row>
    <row r="204" spans="1:50" x14ac:dyDescent="0.25">
      <c r="A204" s="9">
        <v>25657</v>
      </c>
      <c r="B204" s="10" t="s">
        <v>13</v>
      </c>
      <c r="C204" s="10" t="s">
        <v>410</v>
      </c>
      <c r="D204" s="10" t="s">
        <v>414</v>
      </c>
      <c r="E204" s="10" t="s">
        <v>415</v>
      </c>
      <c r="F204" s="10">
        <v>33.983699999999999</v>
      </c>
      <c r="G204" s="10">
        <v>44.942399999999999</v>
      </c>
      <c r="H204" s="10" t="s">
        <v>265</v>
      </c>
      <c r="I204" s="10" t="s">
        <v>412</v>
      </c>
      <c r="J204" s="10"/>
      <c r="K204" s="11">
        <v>205</v>
      </c>
      <c r="L204" s="11">
        <v>1230</v>
      </c>
      <c r="M204" s="11"/>
      <c r="N204" s="11"/>
      <c r="O204" s="11"/>
      <c r="P204" s="11"/>
      <c r="Q204" s="11"/>
      <c r="R204" s="11">
        <v>205</v>
      </c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>
        <v>105</v>
      </c>
      <c r="AG204" s="11"/>
      <c r="AH204" s="11"/>
      <c r="AI204" s="11"/>
      <c r="AJ204" s="11"/>
      <c r="AK204" s="11"/>
      <c r="AL204" s="11"/>
      <c r="AM204" s="11"/>
      <c r="AN204" s="11">
        <v>100</v>
      </c>
      <c r="AO204" s="11"/>
      <c r="AP204" s="11"/>
      <c r="AQ204" s="11"/>
      <c r="AR204" s="11"/>
      <c r="AS204" s="11">
        <v>205</v>
      </c>
      <c r="AT204" s="11"/>
      <c r="AU204" s="11"/>
      <c r="AV204" s="20" t="str">
        <f>HYPERLINK("http://www.openstreetmap.org/?mlat=33.9837&amp;mlon=44.9424&amp;zoom=12#map=12/33.9837/44.9424","Maplink1")</f>
        <v>Maplink1</v>
      </c>
      <c r="AW204" s="20" t="str">
        <f>HYPERLINK("https://www.google.iq/maps/search/+33.9837,44.9424/@33.9837,44.9424,14z?hl=en","Maplink2")</f>
        <v>Maplink2</v>
      </c>
      <c r="AX204" s="20" t="str">
        <f>HYPERLINK("http://www.bing.com/maps/?lvl=14&amp;sty=h&amp;cp=33.9837~44.9424&amp;sp=point.33.9837_44.9424_Abu musa village","Maplink3")</f>
        <v>Maplink3</v>
      </c>
    </row>
    <row r="205" spans="1:50" x14ac:dyDescent="0.25">
      <c r="A205" s="9">
        <v>25802</v>
      </c>
      <c r="B205" s="10" t="s">
        <v>13</v>
      </c>
      <c r="C205" s="10" t="s">
        <v>410</v>
      </c>
      <c r="D205" s="10" t="s">
        <v>959</v>
      </c>
      <c r="E205" s="10" t="s">
        <v>450</v>
      </c>
      <c r="F205" s="10">
        <v>33.5809</v>
      </c>
      <c r="G205" s="10">
        <v>44.545200000000001</v>
      </c>
      <c r="H205" s="10" t="s">
        <v>265</v>
      </c>
      <c r="I205" s="10" t="s">
        <v>412</v>
      </c>
      <c r="J205" s="10"/>
      <c r="K205" s="11">
        <v>20</v>
      </c>
      <c r="L205" s="11">
        <v>120</v>
      </c>
      <c r="M205" s="11"/>
      <c r="N205" s="11"/>
      <c r="O205" s="11"/>
      <c r="P205" s="11"/>
      <c r="Q205" s="11"/>
      <c r="R205" s="11">
        <v>20</v>
      </c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>
        <v>20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>
        <v>20</v>
      </c>
      <c r="AR205" s="11"/>
      <c r="AS205" s="11"/>
      <c r="AT205" s="11"/>
      <c r="AU205" s="11"/>
      <c r="AV205" s="20" t="str">
        <f>HYPERLINK("http://www.openstreetmap.org/?mlat=33.5809&amp;mlon=44.5452&amp;zoom=12#map=12/33.5809/44.5452","Maplink1")</f>
        <v>Maplink1</v>
      </c>
      <c r="AW205" s="20" t="str">
        <f>HYPERLINK("https://www.google.iq/maps/search/+33.5809,44.5452/@33.5809,44.5452,14z?hl=en","Maplink2")</f>
        <v>Maplink2</v>
      </c>
      <c r="AX205" s="20" t="str">
        <f>HYPERLINK("http://www.bing.com/maps/?lvl=14&amp;sty=h&amp;cp=33.5809~44.5452&amp;sp=point.33.5809_44.5452_Hay Al-Karama","Maplink3")</f>
        <v>Maplink3</v>
      </c>
    </row>
    <row r="206" spans="1:50" x14ac:dyDescent="0.25">
      <c r="A206" s="9">
        <v>25804</v>
      </c>
      <c r="B206" s="10" t="s">
        <v>13</v>
      </c>
      <c r="C206" s="10" t="s">
        <v>410</v>
      </c>
      <c r="D206" s="10" t="s">
        <v>960</v>
      </c>
      <c r="E206" s="10" t="s">
        <v>451</v>
      </c>
      <c r="F206" s="10">
        <v>33.554200000000002</v>
      </c>
      <c r="G206" s="10">
        <v>45.044800000000002</v>
      </c>
      <c r="H206" s="10" t="s">
        <v>265</v>
      </c>
      <c r="I206" s="10" t="s">
        <v>412</v>
      </c>
      <c r="J206" s="10"/>
      <c r="K206" s="11">
        <v>380</v>
      </c>
      <c r="L206" s="11">
        <v>2280</v>
      </c>
      <c r="M206" s="11"/>
      <c r="N206" s="11"/>
      <c r="O206" s="11"/>
      <c r="P206" s="11"/>
      <c r="Q206" s="11"/>
      <c r="R206" s="11">
        <v>380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>
        <v>210</v>
      </c>
      <c r="AG206" s="11"/>
      <c r="AH206" s="11"/>
      <c r="AI206" s="11"/>
      <c r="AJ206" s="11"/>
      <c r="AK206" s="11"/>
      <c r="AL206" s="11">
        <v>95</v>
      </c>
      <c r="AM206" s="11"/>
      <c r="AN206" s="11">
        <v>75</v>
      </c>
      <c r="AO206" s="11"/>
      <c r="AP206" s="11"/>
      <c r="AQ206" s="11">
        <v>380</v>
      </c>
      <c r="AR206" s="11"/>
      <c r="AS206" s="11"/>
      <c r="AT206" s="11"/>
      <c r="AU206" s="11"/>
      <c r="AV206" s="20" t="str">
        <f>HYPERLINK("http://www.openstreetmap.org/?mlat=33.5542&amp;mlon=45.0448&amp;zoom=12#map=12/33.5542/45.0448","Maplink1")</f>
        <v>Maplink1</v>
      </c>
      <c r="AW206" s="20" t="str">
        <f>HYPERLINK("https://www.google.iq/maps/search/+33.5542,45.0448/@33.5542,45.0448,14z?hl=en","Maplink2")</f>
        <v>Maplink2</v>
      </c>
      <c r="AX206" s="20" t="str">
        <f>HYPERLINK("http://www.bing.com/maps/?lvl=14&amp;sty=h&amp;cp=33.5542~45.0448&amp;sp=point.33.5542_45.0448_Hay Al-Mataar","Maplink3")</f>
        <v>Maplink3</v>
      </c>
    </row>
    <row r="207" spans="1:50" x14ac:dyDescent="0.25">
      <c r="A207" s="9">
        <v>25801</v>
      </c>
      <c r="B207" s="10" t="s">
        <v>13</v>
      </c>
      <c r="C207" s="10" t="s">
        <v>410</v>
      </c>
      <c r="D207" s="10" t="s">
        <v>961</v>
      </c>
      <c r="E207" s="10" t="s">
        <v>452</v>
      </c>
      <c r="F207" s="10">
        <v>33.583199999999998</v>
      </c>
      <c r="G207" s="10">
        <v>44.552100000000003</v>
      </c>
      <c r="H207" s="10" t="s">
        <v>265</v>
      </c>
      <c r="I207" s="10" t="s">
        <v>412</v>
      </c>
      <c r="J207" s="10"/>
      <c r="K207" s="11">
        <v>25</v>
      </c>
      <c r="L207" s="11">
        <v>150</v>
      </c>
      <c r="M207" s="11"/>
      <c r="N207" s="11"/>
      <c r="O207" s="11"/>
      <c r="P207" s="11"/>
      <c r="Q207" s="11"/>
      <c r="R207" s="11">
        <v>25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>
        <v>25</v>
      </c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>
        <v>25</v>
      </c>
      <c r="AR207" s="11"/>
      <c r="AS207" s="11"/>
      <c r="AT207" s="11"/>
      <c r="AU207" s="11"/>
      <c r="AV207" s="20" t="str">
        <f>HYPERLINK("http://www.openstreetmap.org/?mlat=33.5832&amp;mlon=44.5521&amp;zoom=12#map=12/33.5832/44.5521","Maplink1")</f>
        <v>Maplink1</v>
      </c>
      <c r="AW207" s="20" t="str">
        <f>HYPERLINK("https://www.google.iq/maps/search/+33.5832,44.5521/@33.5832,44.5521,14z?hl=en","Maplink2")</f>
        <v>Maplink2</v>
      </c>
      <c r="AX207" s="20" t="str">
        <f>HYPERLINK("http://www.bing.com/maps/?lvl=14&amp;sty=h&amp;cp=33.5832~44.5521&amp;sp=point.33.5832_44.5521_Hay Al-Noor","Maplink3")</f>
        <v>Maplink3</v>
      </c>
    </row>
    <row r="208" spans="1:50" x14ac:dyDescent="0.25">
      <c r="A208" s="9">
        <v>11440</v>
      </c>
      <c r="B208" s="10" t="s">
        <v>13</v>
      </c>
      <c r="C208" s="10" t="s">
        <v>410</v>
      </c>
      <c r="D208" s="10" t="s">
        <v>942</v>
      </c>
      <c r="E208" s="10" t="s">
        <v>282</v>
      </c>
      <c r="F208" s="10">
        <v>33.909999999999997</v>
      </c>
      <c r="G208" s="10">
        <v>44.98</v>
      </c>
      <c r="H208" s="10" t="s">
        <v>265</v>
      </c>
      <c r="I208" s="10" t="s">
        <v>412</v>
      </c>
      <c r="J208" s="10" t="s">
        <v>429</v>
      </c>
      <c r="K208" s="11">
        <v>379</v>
      </c>
      <c r="L208" s="11">
        <v>2274</v>
      </c>
      <c r="M208" s="11"/>
      <c r="N208" s="11"/>
      <c r="O208" s="11"/>
      <c r="P208" s="11"/>
      <c r="Q208" s="11"/>
      <c r="R208" s="11">
        <v>372</v>
      </c>
      <c r="S208" s="11"/>
      <c r="T208" s="11"/>
      <c r="U208" s="11"/>
      <c r="V208" s="11"/>
      <c r="W208" s="11"/>
      <c r="X208" s="11"/>
      <c r="Y208" s="11"/>
      <c r="Z208" s="11"/>
      <c r="AA208" s="11"/>
      <c r="AB208" s="11">
        <v>7</v>
      </c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>
        <v>379</v>
      </c>
      <c r="AO208" s="11"/>
      <c r="AP208" s="11"/>
      <c r="AQ208" s="11"/>
      <c r="AR208" s="11"/>
      <c r="AS208" s="11">
        <v>379</v>
      </c>
      <c r="AT208" s="11"/>
      <c r="AU208" s="11"/>
      <c r="AV208" s="20" t="str">
        <f>HYPERLINK("http://www.openstreetmap.org/?mlat=33.91&amp;mlon=44.98&amp;zoom=12#map=12/33.91/44.98","Maplink1")</f>
        <v>Maplink1</v>
      </c>
      <c r="AW208" s="20" t="str">
        <f>HYPERLINK("https://www.google.iq/maps/search/+33.91,44.98/@33.91,44.98,14z?hl=en","Maplink2")</f>
        <v>Maplink2</v>
      </c>
      <c r="AX208" s="20" t="str">
        <f>HYPERLINK("http://www.bing.com/maps/?lvl=14&amp;sty=h&amp;cp=33.91~44.98&amp;sp=point.33.91_44.98_Al-Qalaah village","Maplink3")</f>
        <v>Maplink3</v>
      </c>
    </row>
    <row r="209" spans="1:50" x14ac:dyDescent="0.25">
      <c r="A209" s="9">
        <v>25805</v>
      </c>
      <c r="B209" s="10" t="s">
        <v>13</v>
      </c>
      <c r="C209" s="10" t="s">
        <v>410</v>
      </c>
      <c r="D209" s="10" t="s">
        <v>962</v>
      </c>
      <c r="E209" s="10" t="s">
        <v>438</v>
      </c>
      <c r="F209" s="10">
        <v>33.5488</v>
      </c>
      <c r="G209" s="10">
        <v>45.1023</v>
      </c>
      <c r="H209" s="10" t="s">
        <v>265</v>
      </c>
      <c r="I209" s="10" t="s">
        <v>412</v>
      </c>
      <c r="J209" s="10"/>
      <c r="K209" s="11">
        <v>160</v>
      </c>
      <c r="L209" s="11">
        <v>960</v>
      </c>
      <c r="M209" s="11"/>
      <c r="N209" s="11"/>
      <c r="O209" s="11"/>
      <c r="P209" s="11"/>
      <c r="Q209" s="11"/>
      <c r="R209" s="11">
        <v>160</v>
      </c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>
        <v>160</v>
      </c>
      <c r="AO209" s="11"/>
      <c r="AP209" s="11"/>
      <c r="AQ209" s="11">
        <v>160</v>
      </c>
      <c r="AR209" s="11"/>
      <c r="AS209" s="11"/>
      <c r="AT209" s="11"/>
      <c r="AU209" s="11"/>
      <c r="AV209" s="20" t="str">
        <f>HYPERLINK("http://www.openstreetmap.org/?mlat=33.5488&amp;mlon=45.1023&amp;zoom=12#map=12/33.5488/45.1023","Maplink1")</f>
        <v>Maplink1</v>
      </c>
      <c r="AW209" s="20" t="str">
        <f>HYPERLINK("https://www.google.iq/maps/search/+33.5488,45.1023/@33.5488,45.1023,14z?hl=en","Maplink2")</f>
        <v>Maplink2</v>
      </c>
      <c r="AX209" s="20" t="str">
        <f>HYPERLINK("http://www.bing.com/maps/?lvl=14&amp;sty=h&amp;cp=33.5488~45.1023&amp;sp=point.33.5488_45.1023_Al-Somood","Maplink3")</f>
        <v>Maplink3</v>
      </c>
    </row>
    <row r="210" spans="1:50" x14ac:dyDescent="0.25">
      <c r="A210" s="9">
        <v>25803</v>
      </c>
      <c r="B210" s="10" t="s">
        <v>13</v>
      </c>
      <c r="C210" s="10" t="s">
        <v>410</v>
      </c>
      <c r="D210" s="10" t="s">
        <v>963</v>
      </c>
      <c r="E210" s="10" t="s">
        <v>453</v>
      </c>
      <c r="F210" s="10">
        <v>33.585599999999999</v>
      </c>
      <c r="G210" s="10">
        <v>44.565600000000003</v>
      </c>
      <c r="H210" s="10" t="s">
        <v>265</v>
      </c>
      <c r="I210" s="10" t="s">
        <v>412</v>
      </c>
      <c r="J210" s="10"/>
      <c r="K210" s="11">
        <v>23</v>
      </c>
      <c r="L210" s="11">
        <v>138</v>
      </c>
      <c r="M210" s="11"/>
      <c r="N210" s="11"/>
      <c r="O210" s="11"/>
      <c r="P210" s="11"/>
      <c r="Q210" s="11"/>
      <c r="R210" s="11">
        <v>23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>
        <v>23</v>
      </c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>
        <v>23</v>
      </c>
      <c r="AR210" s="11"/>
      <c r="AS210" s="11"/>
      <c r="AT210" s="11"/>
      <c r="AU210" s="11"/>
      <c r="AV210" s="20" t="str">
        <f>HYPERLINK("http://www.openstreetmap.org/?mlat=33.5856&amp;mlon=44.5656&amp;zoom=12#map=12/33.5856/44.5656","Maplink1")</f>
        <v>Maplink1</v>
      </c>
      <c r="AW210" s="20" t="str">
        <f>HYPERLINK("https://www.google.iq/maps/search/+33.5856,44.5656/@33.5856,44.5656,14z?hl=en","Maplink2")</f>
        <v>Maplink2</v>
      </c>
      <c r="AX210" s="20" t="str">
        <f>HYPERLINK("http://www.bing.com/maps/?lvl=14&amp;sty=h&amp;cp=33.5856~44.5656&amp;sp=point.33.5856_44.5656_Hay Al-Sooq","Maplink3")</f>
        <v>Maplink3</v>
      </c>
    </row>
    <row r="211" spans="1:50" x14ac:dyDescent="0.25">
      <c r="A211" s="9">
        <v>25981</v>
      </c>
      <c r="B211" s="10" t="s">
        <v>13</v>
      </c>
      <c r="C211" s="10" t="s">
        <v>410</v>
      </c>
      <c r="D211" s="10" t="s">
        <v>416</v>
      </c>
      <c r="E211" s="10" t="s">
        <v>417</v>
      </c>
      <c r="F211" s="10">
        <v>34.005000000000003</v>
      </c>
      <c r="G211" s="10">
        <v>44.931100000000001</v>
      </c>
      <c r="H211" s="10" t="s">
        <v>265</v>
      </c>
      <c r="I211" s="10" t="s">
        <v>412</v>
      </c>
      <c r="J211" s="10"/>
      <c r="K211" s="11">
        <v>159</v>
      </c>
      <c r="L211" s="11">
        <v>954</v>
      </c>
      <c r="M211" s="11"/>
      <c r="N211" s="11"/>
      <c r="O211" s="11"/>
      <c r="P211" s="11"/>
      <c r="Q211" s="11"/>
      <c r="R211" s="11">
        <v>159</v>
      </c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>
        <v>159</v>
      </c>
      <c r="AO211" s="11"/>
      <c r="AP211" s="11"/>
      <c r="AQ211" s="11"/>
      <c r="AR211" s="11"/>
      <c r="AS211" s="11">
        <v>159</v>
      </c>
      <c r="AT211" s="11"/>
      <c r="AU211" s="11"/>
      <c r="AV211" s="20" t="str">
        <f>HYPERLINK("http://www.openstreetmap.org/?mlat=34.005&amp;mlon=44.9311&amp;zoom=12#map=12/34.005/44.9311","Maplink1")</f>
        <v>Maplink1</v>
      </c>
      <c r="AW211" s="20" t="str">
        <f>HYPERLINK("https://www.google.iq/maps/search/+34.005,44.9311/@34.005,44.9311,14z?hl=en","Maplink2")</f>
        <v>Maplink2</v>
      </c>
      <c r="AX211" s="20" t="str">
        <f>HYPERLINK("http://www.bing.com/maps/?lvl=14&amp;sty=h&amp;cp=34.005~44.9311&amp;sp=point.34.005_44.9311_Al-Aali village","Maplink3")</f>
        <v>Maplink3</v>
      </c>
    </row>
    <row r="212" spans="1:50" x14ac:dyDescent="0.25">
      <c r="A212" s="9">
        <v>26028</v>
      </c>
      <c r="B212" s="10" t="s">
        <v>13</v>
      </c>
      <c r="C212" s="10" t="s">
        <v>410</v>
      </c>
      <c r="D212" s="10" t="s">
        <v>418</v>
      </c>
      <c r="E212" s="10" t="s">
        <v>419</v>
      </c>
      <c r="F212" s="10">
        <v>33.987499999999997</v>
      </c>
      <c r="G212" s="10">
        <v>44.8932</v>
      </c>
      <c r="H212" s="10" t="s">
        <v>265</v>
      </c>
      <c r="I212" s="10" t="s">
        <v>412</v>
      </c>
      <c r="J212" s="10"/>
      <c r="K212" s="11">
        <v>123</v>
      </c>
      <c r="L212" s="11">
        <v>738</v>
      </c>
      <c r="M212" s="11"/>
      <c r="N212" s="11"/>
      <c r="O212" s="11"/>
      <c r="P212" s="11"/>
      <c r="Q212" s="11"/>
      <c r="R212" s="11">
        <v>123</v>
      </c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>
        <v>20</v>
      </c>
      <c r="AG212" s="11"/>
      <c r="AH212" s="11"/>
      <c r="AI212" s="11"/>
      <c r="AJ212" s="11"/>
      <c r="AK212" s="11"/>
      <c r="AL212" s="11"/>
      <c r="AM212" s="11"/>
      <c r="AN212" s="11">
        <v>103</v>
      </c>
      <c r="AO212" s="11"/>
      <c r="AP212" s="11"/>
      <c r="AQ212" s="11"/>
      <c r="AR212" s="11"/>
      <c r="AS212" s="11">
        <v>123</v>
      </c>
      <c r="AT212" s="11"/>
      <c r="AU212" s="11"/>
      <c r="AV212" s="20" t="str">
        <f>HYPERLINK("http://www.openstreetmap.org/?mlat=33.9875&amp;mlon=44.8932&amp;zoom=12#map=12/33.9875/44.8932","Maplink1")</f>
        <v>Maplink1</v>
      </c>
      <c r="AW212" s="20" t="str">
        <f>HYPERLINK("https://www.google.iq/maps/search/+33.9875,44.8932/@33.9875,44.8932,14z?hl=en","Maplink2")</f>
        <v>Maplink2</v>
      </c>
      <c r="AX212" s="20" t="str">
        <f>HYPERLINK("http://www.bing.com/maps/?lvl=14&amp;sty=h&amp;cp=33.9875~44.8932&amp;sp=point.33.9875_44.8932_Al-Arda village","Maplink3")</f>
        <v>Maplink3</v>
      </c>
    </row>
    <row r="213" spans="1:50" x14ac:dyDescent="0.25">
      <c r="A213" s="9">
        <v>26032</v>
      </c>
      <c r="B213" s="10" t="s">
        <v>13</v>
      </c>
      <c r="C213" s="10" t="s">
        <v>410</v>
      </c>
      <c r="D213" s="10" t="s">
        <v>964</v>
      </c>
      <c r="E213" s="10" t="s">
        <v>424</v>
      </c>
      <c r="F213" s="10">
        <v>33.986899999999999</v>
      </c>
      <c r="G213" s="10">
        <v>44.895400000000002</v>
      </c>
      <c r="H213" s="10" t="s">
        <v>265</v>
      </c>
      <c r="I213" s="10" t="s">
        <v>412</v>
      </c>
      <c r="J213" s="10"/>
      <c r="K213" s="11">
        <v>54</v>
      </c>
      <c r="L213" s="11">
        <v>324</v>
      </c>
      <c r="M213" s="11"/>
      <c r="N213" s="11"/>
      <c r="O213" s="11"/>
      <c r="P213" s="11"/>
      <c r="Q213" s="11"/>
      <c r="R213" s="11">
        <v>54</v>
      </c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>
        <v>10</v>
      </c>
      <c r="AG213" s="11"/>
      <c r="AH213" s="11"/>
      <c r="AI213" s="11"/>
      <c r="AJ213" s="11"/>
      <c r="AK213" s="11"/>
      <c r="AL213" s="11"/>
      <c r="AM213" s="11"/>
      <c r="AN213" s="11">
        <v>44</v>
      </c>
      <c r="AO213" s="11"/>
      <c r="AP213" s="11"/>
      <c r="AQ213" s="11"/>
      <c r="AR213" s="11"/>
      <c r="AS213" s="11">
        <v>54</v>
      </c>
      <c r="AT213" s="11"/>
      <c r="AU213" s="11"/>
      <c r="AV213" s="20" t="str">
        <f>HYPERLINK("http://www.openstreetmap.org/?mlat=33.9869&amp;mlon=44.8954&amp;zoom=12#map=12/33.9869/44.8954","Maplink1")</f>
        <v>Maplink1</v>
      </c>
      <c r="AW213" s="20" t="str">
        <f>HYPERLINK("https://www.google.iq/maps/search/+33.9869,44.8954/@33.9869,44.8954,14z?hl=en","Maplink2")</f>
        <v>Maplink2</v>
      </c>
      <c r="AX213" s="20" t="str">
        <f>HYPERLINK("http://www.bing.com/maps/?lvl=14&amp;sty=h&amp;cp=33.9869~44.8954&amp;sp=point.33.9869_44.8954_Al-Kwam village","Maplink3")</f>
        <v>Maplink3</v>
      </c>
    </row>
    <row r="214" spans="1:50" x14ac:dyDescent="0.25">
      <c r="A214" s="9">
        <v>26030</v>
      </c>
      <c r="B214" s="10" t="s">
        <v>13</v>
      </c>
      <c r="C214" s="10" t="s">
        <v>410</v>
      </c>
      <c r="D214" s="10" t="s">
        <v>421</v>
      </c>
      <c r="E214" s="10" t="s">
        <v>422</v>
      </c>
      <c r="F214" s="10">
        <v>34.010599999999997</v>
      </c>
      <c r="G214" s="10">
        <v>44.901499999999999</v>
      </c>
      <c r="H214" s="10" t="s">
        <v>265</v>
      </c>
      <c r="I214" s="10" t="s">
        <v>412</v>
      </c>
      <c r="J214" s="10"/>
      <c r="K214" s="11">
        <v>169</v>
      </c>
      <c r="L214" s="11">
        <v>1014</v>
      </c>
      <c r="M214" s="11"/>
      <c r="N214" s="11"/>
      <c r="O214" s="11"/>
      <c r="P214" s="11"/>
      <c r="Q214" s="11"/>
      <c r="R214" s="11">
        <v>169</v>
      </c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>
        <v>39</v>
      </c>
      <c r="AG214" s="11"/>
      <c r="AH214" s="11"/>
      <c r="AI214" s="11"/>
      <c r="AJ214" s="11"/>
      <c r="AK214" s="11"/>
      <c r="AL214" s="11"/>
      <c r="AM214" s="11"/>
      <c r="AN214" s="11">
        <v>130</v>
      </c>
      <c r="AO214" s="11"/>
      <c r="AP214" s="11"/>
      <c r="AQ214" s="11"/>
      <c r="AR214" s="11"/>
      <c r="AS214" s="11">
        <v>169</v>
      </c>
      <c r="AT214" s="11"/>
      <c r="AU214" s="11"/>
      <c r="AV214" s="20" t="str">
        <f>HYPERLINK("http://www.openstreetmap.org/?mlat=34.0106&amp;mlon=44.9015&amp;zoom=12#map=12/34.0106/44.9015","Maplink1")</f>
        <v>Maplink1</v>
      </c>
      <c r="AW214" s="20" t="str">
        <f>HYPERLINK("https://www.google.iq/maps/search/+34.0106,44.9015/@34.0106,44.9015,14z?hl=en","Maplink2")</f>
        <v>Maplink2</v>
      </c>
      <c r="AX214" s="20" t="str">
        <f>HYPERLINK("http://www.bing.com/maps/?lvl=14&amp;sty=h&amp;cp=34.0106~44.9015&amp;sp=point.34.0106_44.9015_Al-Hamadi village","Maplink3")</f>
        <v>Maplink3</v>
      </c>
    </row>
    <row r="215" spans="1:50" x14ac:dyDescent="0.25">
      <c r="A215" s="9">
        <v>25664</v>
      </c>
      <c r="B215" s="10" t="s">
        <v>13</v>
      </c>
      <c r="C215" s="10" t="s">
        <v>410</v>
      </c>
      <c r="D215" s="10" t="s">
        <v>425</v>
      </c>
      <c r="E215" s="10" t="s">
        <v>426</v>
      </c>
      <c r="F215" s="10">
        <v>33.980600000000003</v>
      </c>
      <c r="G215" s="10">
        <v>44.925899999999999</v>
      </c>
      <c r="H215" s="10" t="s">
        <v>265</v>
      </c>
      <c r="I215" s="10" t="s">
        <v>412</v>
      </c>
      <c r="J215" s="10"/>
      <c r="K215" s="11">
        <v>209</v>
      </c>
      <c r="L215" s="11">
        <v>1254</v>
      </c>
      <c r="M215" s="11"/>
      <c r="N215" s="11"/>
      <c r="O215" s="11"/>
      <c r="P215" s="11"/>
      <c r="Q215" s="11"/>
      <c r="R215" s="11">
        <v>159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>
        <v>50</v>
      </c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>
        <v>209</v>
      </c>
      <c r="AO215" s="11"/>
      <c r="AP215" s="11"/>
      <c r="AQ215" s="11"/>
      <c r="AR215" s="11"/>
      <c r="AS215" s="11">
        <v>209</v>
      </c>
      <c r="AT215" s="11"/>
      <c r="AU215" s="11"/>
      <c r="AV215" s="20" t="str">
        <f>HYPERLINK("http://www.openstreetmap.org/?mlat=33.9806&amp;mlon=44.9259&amp;zoom=12#map=12/33.9806/44.9259","Maplink1")</f>
        <v>Maplink1</v>
      </c>
      <c r="AW215" s="20" t="str">
        <f>HYPERLINK("https://www.google.iq/maps/search/+33.9806,44.9259/@33.9806,44.9259,14z?hl=en","Maplink2")</f>
        <v>Maplink2</v>
      </c>
      <c r="AX215" s="20" t="str">
        <f>HYPERLINK("http://www.bing.com/maps/?lvl=14&amp;sty=h&amp;cp=33.9806~44.9259&amp;sp=point.33.9806_44.9259_Al-Lihayb village","Maplink3")</f>
        <v>Maplink3</v>
      </c>
    </row>
    <row r="216" spans="1:50" x14ac:dyDescent="0.25">
      <c r="A216" s="9">
        <v>11358</v>
      </c>
      <c r="B216" s="10" t="s">
        <v>13</v>
      </c>
      <c r="C216" s="10" t="s">
        <v>410</v>
      </c>
      <c r="D216" s="10" t="s">
        <v>965</v>
      </c>
      <c r="E216" s="10" t="s">
        <v>411</v>
      </c>
      <c r="F216" s="10">
        <v>33.962299999999999</v>
      </c>
      <c r="G216" s="10">
        <v>44.8125</v>
      </c>
      <c r="H216" s="10" t="s">
        <v>265</v>
      </c>
      <c r="I216" s="10" t="s">
        <v>412</v>
      </c>
      <c r="J216" s="10" t="s">
        <v>413</v>
      </c>
      <c r="K216" s="11">
        <v>95</v>
      </c>
      <c r="L216" s="11">
        <v>570</v>
      </c>
      <c r="M216" s="11"/>
      <c r="N216" s="11"/>
      <c r="O216" s="11"/>
      <c r="P216" s="11"/>
      <c r="Q216" s="11"/>
      <c r="R216" s="11">
        <v>95</v>
      </c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>
        <v>95</v>
      </c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>
        <v>95</v>
      </c>
      <c r="AR216" s="11"/>
      <c r="AS216" s="11"/>
      <c r="AT216" s="11"/>
      <c r="AU216" s="11"/>
      <c r="AV216" s="20" t="str">
        <f>HYPERLINK("http://www.openstreetmap.org/?mlat=33.9623&amp;mlon=44.8125&amp;zoom=12#map=12/33.9623/44.8125","Maplink1")</f>
        <v>Maplink1</v>
      </c>
      <c r="AW216" s="20" t="str">
        <f>HYPERLINK("https://www.google.iq/maps/search/+33.9623,44.8125/@33.9623,44.8125,14z?hl=en","Maplink2")</f>
        <v>Maplink2</v>
      </c>
      <c r="AX216" s="20" t="str">
        <f>HYPERLINK("http://www.bing.com/maps/?lvl=14&amp;sty=h&amp;cp=33.9623~44.8125&amp;sp=point.33.9623_44.8125_Abo Dihin","Maplink3")</f>
        <v>Maplink3</v>
      </c>
    </row>
    <row r="217" spans="1:50" x14ac:dyDescent="0.25">
      <c r="A217" s="9">
        <v>25827</v>
      </c>
      <c r="B217" s="10" t="s">
        <v>13</v>
      </c>
      <c r="C217" s="10" t="s">
        <v>410</v>
      </c>
      <c r="D217" s="10" t="s">
        <v>966</v>
      </c>
      <c r="E217" s="10" t="s">
        <v>440</v>
      </c>
      <c r="F217" s="10">
        <v>33.964399999999998</v>
      </c>
      <c r="G217" s="10">
        <v>44.918100000000003</v>
      </c>
      <c r="H217" s="10" t="s">
        <v>265</v>
      </c>
      <c r="I217" s="10" t="s">
        <v>412</v>
      </c>
      <c r="J217" s="10"/>
      <c r="K217" s="11">
        <v>95</v>
      </c>
      <c r="L217" s="11">
        <v>570</v>
      </c>
      <c r="M217" s="11"/>
      <c r="N217" s="11"/>
      <c r="O217" s="11"/>
      <c r="P217" s="11"/>
      <c r="Q217" s="11"/>
      <c r="R217" s="11">
        <v>95</v>
      </c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>
        <v>55</v>
      </c>
      <c r="AG217" s="11"/>
      <c r="AH217" s="11"/>
      <c r="AI217" s="11"/>
      <c r="AJ217" s="11"/>
      <c r="AK217" s="11"/>
      <c r="AL217" s="11"/>
      <c r="AM217" s="11"/>
      <c r="AN217" s="11">
        <v>40</v>
      </c>
      <c r="AO217" s="11"/>
      <c r="AP217" s="11"/>
      <c r="AQ217" s="11">
        <v>95</v>
      </c>
      <c r="AR217" s="11"/>
      <c r="AS217" s="11"/>
      <c r="AT217" s="11"/>
      <c r="AU217" s="11"/>
      <c r="AV217" s="20" t="str">
        <f>HYPERLINK("http://www.openstreetmap.org/?mlat=33.9644&amp;mlon=44.9181&amp;zoom=12#map=12/33.9644/44.9181","Maplink1")</f>
        <v>Maplink1</v>
      </c>
      <c r="AW217" s="20" t="str">
        <f>HYPERLINK("https://www.google.iq/maps/search/+33.9644,44.9181/@33.9644,44.9181,14z?hl=en","Maplink2")</f>
        <v>Maplink2</v>
      </c>
      <c r="AX217" s="20" t="str">
        <f>HYPERLINK("http://www.bing.com/maps/?lvl=14&amp;sty=h&amp;cp=33.9644~44.9181&amp;sp=point.33.9644_44.9181_Al-Tinaira","Maplink3")</f>
        <v>Maplink3</v>
      </c>
    </row>
    <row r="218" spans="1:50" x14ac:dyDescent="0.25">
      <c r="A218" s="9">
        <v>25826</v>
      </c>
      <c r="B218" s="10" t="s">
        <v>13</v>
      </c>
      <c r="C218" s="10" t="s">
        <v>410</v>
      </c>
      <c r="D218" s="10" t="s">
        <v>967</v>
      </c>
      <c r="E218" s="10" t="s">
        <v>454</v>
      </c>
      <c r="F218" s="10">
        <v>33.552199999999999</v>
      </c>
      <c r="G218" s="10">
        <v>45.043300000000002</v>
      </c>
      <c r="H218" s="10" t="s">
        <v>265</v>
      </c>
      <c r="I218" s="10" t="s">
        <v>412</v>
      </c>
      <c r="J218" s="10"/>
      <c r="K218" s="11">
        <v>67</v>
      </c>
      <c r="L218" s="11">
        <v>402</v>
      </c>
      <c r="M218" s="11"/>
      <c r="N218" s="11"/>
      <c r="O218" s="11"/>
      <c r="P218" s="11"/>
      <c r="Q218" s="11"/>
      <c r="R218" s="11">
        <v>67</v>
      </c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>
        <v>67</v>
      </c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>
        <v>67</v>
      </c>
      <c r="AR218" s="11"/>
      <c r="AS218" s="11"/>
      <c r="AT218" s="11"/>
      <c r="AU218" s="11"/>
      <c r="AV218" s="20" t="str">
        <f>HYPERLINK("http://www.openstreetmap.org/?mlat=33.5522&amp;mlon=45.0433&amp;zoom=12#map=12/33.5522/45.0433","Maplink1")</f>
        <v>Maplink1</v>
      </c>
      <c r="AW218" s="20" t="str">
        <f>HYPERLINK("https://www.google.iq/maps/search/+33.5522,45.0433/@33.5522,45.0433,14z?hl=en","Maplink2")</f>
        <v>Maplink2</v>
      </c>
      <c r="AX218" s="20" t="str">
        <f>HYPERLINK("http://www.bing.com/maps/?lvl=14&amp;sty=h&amp;cp=33.5522~45.0433&amp;sp=point.33.5522_45.0433_Hay Al-Uroba","Maplink3")</f>
        <v>Maplink3</v>
      </c>
    </row>
    <row r="219" spans="1:50" x14ac:dyDescent="0.25">
      <c r="A219" s="9">
        <v>11179</v>
      </c>
      <c r="B219" s="10" t="s">
        <v>13</v>
      </c>
      <c r="C219" s="10" t="s">
        <v>410</v>
      </c>
      <c r="D219" s="10" t="s">
        <v>968</v>
      </c>
      <c r="E219" s="10" t="s">
        <v>445</v>
      </c>
      <c r="F219" s="10">
        <v>33.5565</v>
      </c>
      <c r="G219" s="10">
        <v>45.044499999999999</v>
      </c>
      <c r="H219" s="10" t="s">
        <v>265</v>
      </c>
      <c r="I219" s="10" t="s">
        <v>412</v>
      </c>
      <c r="J219" s="10"/>
      <c r="K219" s="11">
        <v>329</v>
      </c>
      <c r="L219" s="11">
        <v>1974</v>
      </c>
      <c r="M219" s="11"/>
      <c r="N219" s="11"/>
      <c r="O219" s="11"/>
      <c r="P219" s="11"/>
      <c r="Q219" s="11"/>
      <c r="R219" s="11">
        <v>329</v>
      </c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>
        <v>329</v>
      </c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>
        <v>329</v>
      </c>
      <c r="AR219" s="11"/>
      <c r="AS219" s="11"/>
      <c r="AT219" s="11"/>
      <c r="AU219" s="11"/>
      <c r="AV219" s="20" t="str">
        <f>HYPERLINK("http://www.openstreetmap.org/?mlat=33.5565&amp;mlon=45.0445&amp;zoom=12#map=12/33.5565/45.0445","Maplink1")</f>
        <v>Maplink1</v>
      </c>
      <c r="AW219" s="20" t="str">
        <f>HYPERLINK("https://www.google.iq/maps/search/+33.5565,45.0445/@33.5565,45.0445,14z?hl=en","Maplink2")</f>
        <v>Maplink2</v>
      </c>
      <c r="AX219" s="20" t="str">
        <f>HYPERLINK("http://www.bing.com/maps/?lvl=14&amp;sty=h&amp;cp=33.5565~45.0445&amp;sp=point.33.5565_45.0445_Balor village","Maplink3")</f>
        <v>Maplink3</v>
      </c>
    </row>
    <row r="220" spans="1:50" x14ac:dyDescent="0.25">
      <c r="A220" s="9">
        <v>25825</v>
      </c>
      <c r="B220" s="10" t="s">
        <v>13</v>
      </c>
      <c r="C220" s="10" t="s">
        <v>410</v>
      </c>
      <c r="D220" s="10" t="s">
        <v>969</v>
      </c>
      <c r="E220" s="10" t="s">
        <v>423</v>
      </c>
      <c r="F220" s="10">
        <v>33.973500000000001</v>
      </c>
      <c r="G220" s="10">
        <v>44.952199999999998</v>
      </c>
      <c r="H220" s="10" t="s">
        <v>265</v>
      </c>
      <c r="I220" s="10" t="s">
        <v>412</v>
      </c>
      <c r="J220" s="10"/>
      <c r="K220" s="11">
        <v>31</v>
      </c>
      <c r="L220" s="11">
        <v>186</v>
      </c>
      <c r="M220" s="11"/>
      <c r="N220" s="11"/>
      <c r="O220" s="11"/>
      <c r="P220" s="11"/>
      <c r="Q220" s="11"/>
      <c r="R220" s="11">
        <v>31</v>
      </c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>
        <v>31</v>
      </c>
      <c r="AO220" s="11"/>
      <c r="AP220" s="11"/>
      <c r="AQ220" s="11">
        <v>31</v>
      </c>
      <c r="AR220" s="11"/>
      <c r="AS220" s="11"/>
      <c r="AT220" s="11"/>
      <c r="AU220" s="11"/>
      <c r="AV220" s="20" t="str">
        <f>HYPERLINK("http://www.openstreetmap.org/?mlat=33.9735&amp;mlon=44.9522&amp;zoom=12#map=12/33.9735/44.9522","Maplink1")</f>
        <v>Maplink1</v>
      </c>
      <c r="AW220" s="20" t="str">
        <f>HYPERLINK("https://www.google.iq/maps/search/+33.9735,44.9522/@33.9735,44.9522,14z?hl=en","Maplink2")</f>
        <v>Maplink2</v>
      </c>
      <c r="AX220" s="20" t="str">
        <f>HYPERLINK("http://www.bing.com/maps/?lvl=14&amp;sty=h&amp;cp=33.9735~44.9522&amp;sp=point.33.9735_44.9522_Al-Igaidat village","Maplink3")</f>
        <v>Maplink3</v>
      </c>
    </row>
    <row r="221" spans="1:50" x14ac:dyDescent="0.25">
      <c r="A221" s="9">
        <v>11307</v>
      </c>
      <c r="B221" s="10" t="s">
        <v>13</v>
      </c>
      <c r="C221" s="10" t="s">
        <v>410</v>
      </c>
      <c r="D221" s="10" t="s">
        <v>430</v>
      </c>
      <c r="E221" s="10" t="s">
        <v>431</v>
      </c>
      <c r="F221" s="10">
        <v>33.9938</v>
      </c>
      <c r="G221" s="10">
        <v>44.933599999999998</v>
      </c>
      <c r="H221" s="10" t="s">
        <v>265</v>
      </c>
      <c r="I221" s="10" t="s">
        <v>412</v>
      </c>
      <c r="J221" s="10" t="s">
        <v>432</v>
      </c>
      <c r="K221" s="11">
        <v>276</v>
      </c>
      <c r="L221" s="11">
        <v>1656</v>
      </c>
      <c r="M221" s="11"/>
      <c r="N221" s="11"/>
      <c r="O221" s="11"/>
      <c r="P221" s="11"/>
      <c r="Q221" s="11"/>
      <c r="R221" s="11">
        <v>276</v>
      </c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>
        <v>126</v>
      </c>
      <c r="AG221" s="11"/>
      <c r="AH221" s="11"/>
      <c r="AI221" s="11"/>
      <c r="AJ221" s="11"/>
      <c r="AK221" s="11"/>
      <c r="AL221" s="11"/>
      <c r="AM221" s="11"/>
      <c r="AN221" s="11">
        <v>150</v>
      </c>
      <c r="AO221" s="11"/>
      <c r="AP221" s="11"/>
      <c r="AQ221" s="11"/>
      <c r="AR221" s="11"/>
      <c r="AS221" s="11">
        <v>276</v>
      </c>
      <c r="AT221" s="11"/>
      <c r="AU221" s="11"/>
      <c r="AV221" s="20" t="str">
        <f>HYPERLINK("http://www.openstreetmap.org/?mlat=33.9938&amp;mlon=44.9336&amp;zoom=12#map=12/33.9938/44.9336","Maplink1")</f>
        <v>Maplink1</v>
      </c>
      <c r="AW221" s="20" t="str">
        <f>HYPERLINK("https://www.google.iq/maps/search/+33.9938,44.9336/@33.9938,44.9336,14z?hl=en","Maplink2")</f>
        <v>Maplink2</v>
      </c>
      <c r="AX221" s="20" t="str">
        <f>HYPERLINK("http://www.bing.com/maps/?lvl=14&amp;sty=h&amp;cp=33.9938~44.9336&amp;sp=point.33.9938_44.9336_Al-Sakhar village","Maplink3")</f>
        <v>Maplink3</v>
      </c>
    </row>
    <row r="222" spans="1:50" x14ac:dyDescent="0.25">
      <c r="A222" s="9">
        <v>26114</v>
      </c>
      <c r="B222" s="10" t="s">
        <v>13</v>
      </c>
      <c r="C222" s="10" t="s">
        <v>410</v>
      </c>
      <c r="D222" s="10" t="s">
        <v>433</v>
      </c>
      <c r="E222" s="10" t="s">
        <v>434</v>
      </c>
      <c r="F222" s="10">
        <v>33.988399999999999</v>
      </c>
      <c r="G222" s="10">
        <v>44.947099999999999</v>
      </c>
      <c r="H222" s="10" t="s">
        <v>265</v>
      </c>
      <c r="I222" s="10" t="s">
        <v>412</v>
      </c>
      <c r="J222" s="10"/>
      <c r="K222" s="11">
        <v>74</v>
      </c>
      <c r="L222" s="11">
        <v>444</v>
      </c>
      <c r="M222" s="11"/>
      <c r="N222" s="11"/>
      <c r="O222" s="11"/>
      <c r="P222" s="11"/>
      <c r="Q222" s="11"/>
      <c r="R222" s="11">
        <v>74</v>
      </c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>
        <v>74</v>
      </c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>
        <v>74</v>
      </c>
      <c r="AT222" s="11"/>
      <c r="AU222" s="11"/>
      <c r="AV222" s="20" t="str">
        <f>HYPERLINK("http://www.openstreetmap.org/?mlat=33.9884&amp;mlon=44.9471&amp;zoom=12#map=12/33.9884/44.9471","Maplink1")</f>
        <v>Maplink1</v>
      </c>
      <c r="AW222" s="20" t="str">
        <f>HYPERLINK("https://www.google.iq/maps/search/+33.9884,44.9471/@33.9884,44.9471,14z?hl=en","Maplink2")</f>
        <v>Maplink2</v>
      </c>
      <c r="AX222" s="20" t="str">
        <f>HYPERLINK("http://www.bing.com/maps/?lvl=14&amp;sty=h&amp;cp=33.9884~44.9471&amp;sp=point.33.9884_44.9471_Al-Shekha village","Maplink3")</f>
        <v>Maplink3</v>
      </c>
    </row>
    <row r="223" spans="1:50" x14ac:dyDescent="0.25">
      <c r="A223" s="9">
        <v>11312</v>
      </c>
      <c r="B223" s="10" t="s">
        <v>13</v>
      </c>
      <c r="C223" s="10" t="s">
        <v>410</v>
      </c>
      <c r="D223" s="10" t="s">
        <v>435</v>
      </c>
      <c r="E223" s="10" t="s">
        <v>436</v>
      </c>
      <c r="F223" s="10">
        <v>34.0578</v>
      </c>
      <c r="G223" s="10">
        <v>44.980600000000003</v>
      </c>
      <c r="H223" s="10" t="s">
        <v>265</v>
      </c>
      <c r="I223" s="10" t="s">
        <v>412</v>
      </c>
      <c r="J223" s="10" t="s">
        <v>437</v>
      </c>
      <c r="K223" s="11">
        <v>15</v>
      </c>
      <c r="L223" s="11">
        <v>90</v>
      </c>
      <c r="M223" s="11"/>
      <c r="N223" s="11"/>
      <c r="O223" s="11"/>
      <c r="P223" s="11"/>
      <c r="Q223" s="11"/>
      <c r="R223" s="11">
        <v>15</v>
      </c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>
        <v>15</v>
      </c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>
        <v>15</v>
      </c>
      <c r="AT223" s="11"/>
      <c r="AU223" s="11"/>
      <c r="AV223" s="20" t="str">
        <f>HYPERLINK("http://www.openstreetmap.org/?mlat=34.0578&amp;mlon=44.9806&amp;zoom=12#map=12/34.0578/44.9806","Maplink1")</f>
        <v>Maplink1</v>
      </c>
      <c r="AW223" s="20" t="str">
        <f>HYPERLINK("https://www.google.iq/maps/search/+34.0578,44.9806/@34.0578,44.9806,14z?hl=en","Maplink2")</f>
        <v>Maplink2</v>
      </c>
      <c r="AX223" s="20" t="str">
        <f>HYPERLINK("http://www.bing.com/maps/?lvl=14&amp;sty=h&amp;cp=34.0578~44.9806&amp;sp=point.34.0578_44.9806_Al-Sodoor","Maplink3")</f>
        <v>Maplink3</v>
      </c>
    </row>
    <row r="224" spans="1:50" x14ac:dyDescent="0.25">
      <c r="A224" s="9">
        <v>25663</v>
      </c>
      <c r="B224" s="10" t="s">
        <v>13</v>
      </c>
      <c r="C224" s="10" t="s">
        <v>410</v>
      </c>
      <c r="D224" s="10" t="s">
        <v>441</v>
      </c>
      <c r="E224" s="10" t="s">
        <v>442</v>
      </c>
      <c r="F224" s="10">
        <v>33.966900000000003</v>
      </c>
      <c r="G224" s="10">
        <v>44.941699999999997</v>
      </c>
      <c r="H224" s="10" t="s">
        <v>265</v>
      </c>
      <c r="I224" s="10" t="s">
        <v>412</v>
      </c>
      <c r="J224" s="10"/>
      <c r="K224" s="11">
        <v>80</v>
      </c>
      <c r="L224" s="11">
        <v>480</v>
      </c>
      <c r="M224" s="11"/>
      <c r="N224" s="11"/>
      <c r="O224" s="11"/>
      <c r="P224" s="11"/>
      <c r="Q224" s="11"/>
      <c r="R224" s="11">
        <v>80</v>
      </c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>
        <v>20</v>
      </c>
      <c r="AG224" s="11"/>
      <c r="AH224" s="11"/>
      <c r="AI224" s="11"/>
      <c r="AJ224" s="11"/>
      <c r="AK224" s="11"/>
      <c r="AL224" s="11"/>
      <c r="AM224" s="11"/>
      <c r="AN224" s="11">
        <v>60</v>
      </c>
      <c r="AO224" s="11"/>
      <c r="AP224" s="11"/>
      <c r="AQ224" s="11"/>
      <c r="AR224" s="11"/>
      <c r="AS224" s="11">
        <v>80</v>
      </c>
      <c r="AT224" s="11"/>
      <c r="AU224" s="11"/>
      <c r="AV224" s="20" t="str">
        <f>HYPERLINK("http://www.openstreetmap.org/?mlat=33.9669&amp;mlon=44.9417&amp;zoom=12#map=12/33.9669/44.9417","Maplink1")</f>
        <v>Maplink1</v>
      </c>
      <c r="AW224" s="20" t="str">
        <f>HYPERLINK("https://www.google.iq/maps/search/+33.9669,44.9417/@33.9669,44.9417,14z?hl=en","Maplink2")</f>
        <v>Maplink2</v>
      </c>
      <c r="AX224" s="20" t="str">
        <f>HYPERLINK("http://www.bing.com/maps/?lvl=14&amp;sty=h&amp;cp=33.9669~44.9417&amp;sp=point.33.9669_44.9417_Al-Uqood village","Maplink3")</f>
        <v>Maplink3</v>
      </c>
    </row>
    <row r="225" spans="1:50" x14ac:dyDescent="0.25">
      <c r="A225" s="9">
        <v>25668</v>
      </c>
      <c r="B225" s="10" t="s">
        <v>13</v>
      </c>
      <c r="C225" s="10" t="s">
        <v>410</v>
      </c>
      <c r="D225" s="10" t="s">
        <v>443</v>
      </c>
      <c r="E225" s="10" t="s">
        <v>444</v>
      </c>
      <c r="F225" s="10">
        <v>33.962800000000001</v>
      </c>
      <c r="G225" s="10">
        <v>44.947800000000001</v>
      </c>
      <c r="H225" s="10" t="s">
        <v>265</v>
      </c>
      <c r="I225" s="10" t="s">
        <v>412</v>
      </c>
      <c r="J225" s="10"/>
      <c r="K225" s="11">
        <v>44</v>
      </c>
      <c r="L225" s="11">
        <v>264</v>
      </c>
      <c r="M225" s="11"/>
      <c r="N225" s="11"/>
      <c r="O225" s="11"/>
      <c r="P225" s="11"/>
      <c r="Q225" s="11"/>
      <c r="R225" s="11">
        <v>44</v>
      </c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>
        <v>14</v>
      </c>
      <c r="AG225" s="11"/>
      <c r="AH225" s="11"/>
      <c r="AI225" s="11"/>
      <c r="AJ225" s="11"/>
      <c r="AK225" s="11"/>
      <c r="AL225" s="11"/>
      <c r="AM225" s="11"/>
      <c r="AN225" s="11">
        <v>30</v>
      </c>
      <c r="AO225" s="11"/>
      <c r="AP225" s="11"/>
      <c r="AQ225" s="11"/>
      <c r="AR225" s="11"/>
      <c r="AS225" s="11">
        <v>44</v>
      </c>
      <c r="AT225" s="11"/>
      <c r="AU225" s="11"/>
      <c r="AV225" s="20" t="str">
        <f>HYPERLINK("http://www.openstreetmap.org/?mlat=33.9628&amp;mlon=44.9478&amp;zoom=12#map=12/33.9628/44.9478","Maplink1")</f>
        <v>Maplink1</v>
      </c>
      <c r="AW225" s="20" t="str">
        <f>HYPERLINK("https://www.google.iq/maps/search/+33.9628,44.9478/@33.9628,44.9478,14z?hl=en","Maplink2")</f>
        <v>Maplink2</v>
      </c>
      <c r="AX225" s="20" t="str">
        <f>HYPERLINK("http://www.bing.com/maps/?lvl=14&amp;sty=h&amp;cp=33.9628~44.9478&amp;sp=point.33.9628_44.9478_Al-Wazan village","Maplink3")</f>
        <v>Maplink3</v>
      </c>
    </row>
    <row r="226" spans="1:50" x14ac:dyDescent="0.25">
      <c r="A226" s="9">
        <v>25660</v>
      </c>
      <c r="B226" s="10" t="s">
        <v>13</v>
      </c>
      <c r="C226" s="10" t="s">
        <v>410</v>
      </c>
      <c r="D226" s="10" t="s">
        <v>970</v>
      </c>
      <c r="E226" s="10" t="s">
        <v>420</v>
      </c>
      <c r="F226" s="10">
        <v>33.953299999999999</v>
      </c>
      <c r="G226" s="10">
        <v>44.941800000000001</v>
      </c>
      <c r="H226" s="10" t="s">
        <v>265</v>
      </c>
      <c r="I226" s="10" t="s">
        <v>412</v>
      </c>
      <c r="J226" s="10"/>
      <c r="K226" s="11">
        <v>93</v>
      </c>
      <c r="L226" s="11">
        <v>558</v>
      </c>
      <c r="M226" s="11">
        <v>55</v>
      </c>
      <c r="N226" s="11"/>
      <c r="O226" s="11"/>
      <c r="P226" s="11"/>
      <c r="Q226" s="11"/>
      <c r="R226" s="11">
        <v>28</v>
      </c>
      <c r="S226" s="11"/>
      <c r="T226" s="11"/>
      <c r="U226" s="11"/>
      <c r="V226" s="11"/>
      <c r="W226" s="11"/>
      <c r="X226" s="11"/>
      <c r="Y226" s="11"/>
      <c r="Z226" s="11"/>
      <c r="AA226" s="11"/>
      <c r="AB226" s="11">
        <v>10</v>
      </c>
      <c r="AC226" s="11"/>
      <c r="AD226" s="11"/>
      <c r="AE226" s="11"/>
      <c r="AF226" s="11">
        <v>55</v>
      </c>
      <c r="AG226" s="11"/>
      <c r="AH226" s="11"/>
      <c r="AI226" s="11"/>
      <c r="AJ226" s="11"/>
      <c r="AK226" s="11"/>
      <c r="AL226" s="11"/>
      <c r="AM226" s="11"/>
      <c r="AN226" s="11">
        <v>38</v>
      </c>
      <c r="AO226" s="11"/>
      <c r="AP226" s="11"/>
      <c r="AQ226" s="11"/>
      <c r="AR226" s="11"/>
      <c r="AS226" s="11">
        <v>93</v>
      </c>
      <c r="AT226" s="11"/>
      <c r="AU226" s="11"/>
      <c r="AV226" s="20" t="str">
        <f>HYPERLINK("http://www.openstreetmap.org/?mlat=33.9533&amp;mlon=44.9418&amp;zoom=12#map=12/33.9533/44.9418","Maplink1")</f>
        <v>Maplink1</v>
      </c>
      <c r="AW226" s="20" t="str">
        <f>HYPERLINK("https://www.google.iq/maps/search/+33.9533,44.9418/@33.9533,44.9418,14z?hl=en","Maplink2")</f>
        <v>Maplink2</v>
      </c>
      <c r="AX226" s="20" t="str">
        <f>HYPERLINK("http://www.bing.com/maps/?lvl=14&amp;sty=h&amp;cp=33.9533~44.9418&amp;sp=point.33.9533_44.9418_Al-Derwish village","Maplink3")</f>
        <v>Maplink3</v>
      </c>
    </row>
    <row r="227" spans="1:50" x14ac:dyDescent="0.25">
      <c r="A227" s="9">
        <v>25674</v>
      </c>
      <c r="B227" s="10" t="s">
        <v>13</v>
      </c>
      <c r="C227" s="10" t="s">
        <v>410</v>
      </c>
      <c r="D227" s="10" t="s">
        <v>446</v>
      </c>
      <c r="E227" s="10" t="s">
        <v>447</v>
      </c>
      <c r="F227" s="10">
        <v>33.983199999999997</v>
      </c>
      <c r="G227" s="10">
        <v>44.9422</v>
      </c>
      <c r="H227" s="10" t="s">
        <v>265</v>
      </c>
      <c r="I227" s="10" t="s">
        <v>412</v>
      </c>
      <c r="J227" s="10"/>
      <c r="K227" s="11">
        <v>26</v>
      </c>
      <c r="L227" s="11">
        <v>156</v>
      </c>
      <c r="M227" s="11"/>
      <c r="N227" s="11"/>
      <c r="O227" s="11"/>
      <c r="P227" s="11"/>
      <c r="Q227" s="11"/>
      <c r="R227" s="11">
        <v>16</v>
      </c>
      <c r="S227" s="11"/>
      <c r="T227" s="11"/>
      <c r="U227" s="11"/>
      <c r="V227" s="11"/>
      <c r="W227" s="11"/>
      <c r="X227" s="11"/>
      <c r="Y227" s="11"/>
      <c r="Z227" s="11"/>
      <c r="AA227" s="11"/>
      <c r="AB227" s="11">
        <v>10</v>
      </c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>
        <v>26</v>
      </c>
      <c r="AO227" s="11"/>
      <c r="AP227" s="11"/>
      <c r="AQ227" s="11"/>
      <c r="AR227" s="11"/>
      <c r="AS227" s="11">
        <v>26</v>
      </c>
      <c r="AT227" s="11"/>
      <c r="AU227" s="11"/>
      <c r="AV227" s="20" t="str">
        <f>HYPERLINK("http://www.openstreetmap.org/?mlat=33.9832&amp;mlon=44.9422&amp;zoom=12#map=12/33.9832/44.9422","Maplink1")</f>
        <v>Maplink1</v>
      </c>
      <c r="AW227" s="20" t="str">
        <f>HYPERLINK("https://www.google.iq/maps/search/+33.9832,44.9422/@33.9832,44.9422,14z?hl=en","Maplink2")</f>
        <v>Maplink2</v>
      </c>
      <c r="AX227" s="20" t="str">
        <f>HYPERLINK("http://www.bing.com/maps/?lvl=14&amp;sty=h&amp;cp=33.9832~44.9422&amp;sp=point.33.9832_44.9422_Haj fadhil village","Maplink3")</f>
        <v>Maplink3</v>
      </c>
    </row>
    <row r="228" spans="1:50" x14ac:dyDescent="0.25">
      <c r="A228" s="9">
        <v>25675</v>
      </c>
      <c r="B228" s="10" t="s">
        <v>13</v>
      </c>
      <c r="C228" s="10" t="s">
        <v>410</v>
      </c>
      <c r="D228" s="10" t="s">
        <v>448</v>
      </c>
      <c r="E228" s="10" t="s">
        <v>449</v>
      </c>
      <c r="F228" s="10">
        <v>33.995100000000001</v>
      </c>
      <c r="G228" s="10">
        <v>44.932099999999998</v>
      </c>
      <c r="H228" s="10" t="s">
        <v>265</v>
      </c>
      <c r="I228" s="10" t="s">
        <v>412</v>
      </c>
      <c r="J228" s="10"/>
      <c r="K228" s="11">
        <v>175</v>
      </c>
      <c r="L228" s="11">
        <v>1050</v>
      </c>
      <c r="M228" s="11"/>
      <c r="N228" s="11"/>
      <c r="O228" s="11"/>
      <c r="P228" s="11"/>
      <c r="Q228" s="11"/>
      <c r="R228" s="11">
        <v>149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>
        <v>26</v>
      </c>
      <c r="AC228" s="11"/>
      <c r="AD228" s="11"/>
      <c r="AE228" s="11"/>
      <c r="AF228" s="11">
        <v>72</v>
      </c>
      <c r="AG228" s="11"/>
      <c r="AH228" s="11"/>
      <c r="AI228" s="11"/>
      <c r="AJ228" s="11"/>
      <c r="AK228" s="11"/>
      <c r="AL228" s="11"/>
      <c r="AM228" s="11"/>
      <c r="AN228" s="11">
        <v>103</v>
      </c>
      <c r="AO228" s="11"/>
      <c r="AP228" s="11"/>
      <c r="AQ228" s="11"/>
      <c r="AR228" s="11"/>
      <c r="AS228" s="11">
        <v>175</v>
      </c>
      <c r="AT228" s="11"/>
      <c r="AU228" s="11"/>
      <c r="AV228" s="20" t="str">
        <f>HYPERLINK("http://www.openstreetmap.org/?mlat=33.9951&amp;mlon=44.9321&amp;zoom=12#map=12/33.9951/44.9321","Maplink1")</f>
        <v>Maplink1</v>
      </c>
      <c r="AW228" s="20" t="str">
        <f>HYPERLINK("https://www.google.iq/maps/search/+33.9951,44.9321/@33.9951,44.9321,14z?hl=en","Maplink2")</f>
        <v>Maplink2</v>
      </c>
      <c r="AX228" s="20" t="str">
        <f>HYPERLINK("http://www.bing.com/maps/?lvl=14&amp;sty=h&amp;cp=33.9951~44.9321&amp;sp=point.33.9951_44.9321_Hamada village","Maplink3")</f>
        <v>Maplink3</v>
      </c>
    </row>
    <row r="229" spans="1:50" x14ac:dyDescent="0.25">
      <c r="A229" s="9">
        <v>26026</v>
      </c>
      <c r="B229" s="10" t="s">
        <v>13</v>
      </c>
      <c r="C229" s="10" t="s">
        <v>410</v>
      </c>
      <c r="D229" s="10" t="s">
        <v>455</v>
      </c>
      <c r="E229" s="10" t="s">
        <v>456</v>
      </c>
      <c r="F229" s="10">
        <v>34.014299999999999</v>
      </c>
      <c r="G229" s="10">
        <v>44.938600000000001</v>
      </c>
      <c r="H229" s="10" t="s">
        <v>265</v>
      </c>
      <c r="I229" s="10" t="s">
        <v>412</v>
      </c>
      <c r="J229" s="10"/>
      <c r="K229" s="11">
        <v>163</v>
      </c>
      <c r="L229" s="11">
        <v>978</v>
      </c>
      <c r="M229" s="11"/>
      <c r="N229" s="11"/>
      <c r="O229" s="11"/>
      <c r="P229" s="11"/>
      <c r="Q229" s="11"/>
      <c r="R229" s="11">
        <v>163</v>
      </c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>
        <v>48</v>
      </c>
      <c r="AG229" s="11"/>
      <c r="AH229" s="11"/>
      <c r="AI229" s="11"/>
      <c r="AJ229" s="11"/>
      <c r="AK229" s="11"/>
      <c r="AL229" s="11"/>
      <c r="AM229" s="11"/>
      <c r="AN229" s="11">
        <v>115</v>
      </c>
      <c r="AO229" s="11"/>
      <c r="AP229" s="11"/>
      <c r="AQ229" s="11"/>
      <c r="AR229" s="11"/>
      <c r="AS229" s="11">
        <v>163</v>
      </c>
      <c r="AT229" s="11"/>
      <c r="AU229" s="11"/>
      <c r="AV229" s="20" t="str">
        <f>HYPERLINK("http://www.openstreetmap.org/?mlat=34.0143&amp;mlon=44.9386&amp;zoom=12#map=12/34.0143/44.9386","Maplink1")</f>
        <v>Maplink1</v>
      </c>
      <c r="AW229" s="20" t="str">
        <f>HYPERLINK("https://www.google.iq/maps/search/+34.0143,44.9386/@34.0143,44.9386,14z?hl=en","Maplink2")</f>
        <v>Maplink2</v>
      </c>
      <c r="AX229" s="20" t="str">
        <f>HYPERLINK("http://www.bing.com/maps/?lvl=14&amp;sty=h&amp;cp=34.0143~44.9386&amp;sp=point.34.0143_44.9386_Hmbs village","Maplink3")</f>
        <v>Maplink3</v>
      </c>
    </row>
    <row r="230" spans="1:50" x14ac:dyDescent="0.25">
      <c r="A230" s="9">
        <v>25982</v>
      </c>
      <c r="B230" s="10" t="s">
        <v>13</v>
      </c>
      <c r="C230" s="10" t="s">
        <v>410</v>
      </c>
      <c r="D230" s="10" t="s">
        <v>459</v>
      </c>
      <c r="E230" s="10" t="s">
        <v>1173</v>
      </c>
      <c r="F230" s="10">
        <v>33.993699999999997</v>
      </c>
      <c r="G230" s="10">
        <v>44.9255</v>
      </c>
      <c r="H230" s="10" t="s">
        <v>265</v>
      </c>
      <c r="I230" s="10" t="s">
        <v>412</v>
      </c>
      <c r="J230" s="10"/>
      <c r="K230" s="11">
        <v>206</v>
      </c>
      <c r="L230" s="11">
        <v>1236</v>
      </c>
      <c r="M230" s="11"/>
      <c r="N230" s="11"/>
      <c r="O230" s="11"/>
      <c r="P230" s="11"/>
      <c r="Q230" s="11"/>
      <c r="R230" s="11">
        <v>206</v>
      </c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>
        <v>206</v>
      </c>
      <c r="AO230" s="11"/>
      <c r="AP230" s="11"/>
      <c r="AQ230" s="11"/>
      <c r="AR230" s="11"/>
      <c r="AS230" s="11">
        <v>206</v>
      </c>
      <c r="AT230" s="11"/>
      <c r="AU230" s="11"/>
      <c r="AV230" s="20" t="str">
        <f>HYPERLINK("http://www.openstreetmap.org/?mlat=33.9937&amp;mlon=44.9255&amp;zoom=12#map=12/33.9937/44.9255","Maplink1")</f>
        <v>Maplink1</v>
      </c>
      <c r="AW230" s="20" t="str">
        <f>HYPERLINK("https://www.google.iq/maps/search/+33.9937,44.9255/@33.9937,44.9255,14z?hl=en","Maplink2")</f>
        <v>Maplink2</v>
      </c>
      <c r="AX230" s="20" t="str">
        <f>HYPERLINK("http://www.bing.com/maps/?lvl=14&amp;sty=h&amp;cp=33.9937~44.9255&amp;sp=point.33.9937_44.9255_Izham village","Maplink3")</f>
        <v>Maplink3</v>
      </c>
    </row>
    <row r="231" spans="1:50" x14ac:dyDescent="0.25">
      <c r="A231" s="9">
        <v>26073</v>
      </c>
      <c r="B231" s="10" t="s">
        <v>13</v>
      </c>
      <c r="C231" s="10" t="s">
        <v>410</v>
      </c>
      <c r="D231" s="10" t="s">
        <v>460</v>
      </c>
      <c r="E231" s="10" t="s">
        <v>461</v>
      </c>
      <c r="F231" s="10">
        <v>33.992800000000003</v>
      </c>
      <c r="G231" s="10">
        <v>44.895499999999998</v>
      </c>
      <c r="H231" s="10" t="s">
        <v>265</v>
      </c>
      <c r="I231" s="10" t="s">
        <v>412</v>
      </c>
      <c r="J231" s="10"/>
      <c r="K231" s="11">
        <v>25</v>
      </c>
      <c r="L231" s="11">
        <v>150</v>
      </c>
      <c r="M231" s="11"/>
      <c r="N231" s="11"/>
      <c r="O231" s="11"/>
      <c r="P231" s="11"/>
      <c r="Q231" s="11"/>
      <c r="R231" s="11">
        <v>25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>
        <v>25</v>
      </c>
      <c r="AO231" s="11"/>
      <c r="AP231" s="11"/>
      <c r="AQ231" s="11"/>
      <c r="AR231" s="11"/>
      <c r="AS231" s="11">
        <v>25</v>
      </c>
      <c r="AT231" s="11"/>
      <c r="AU231" s="11"/>
      <c r="AV231" s="20" t="str">
        <f>HYPERLINK("http://www.openstreetmap.org/?mlat=33.9928&amp;mlon=44.8955&amp;zoom=12#map=12/33.9928/44.8955","Maplink1")</f>
        <v>Maplink1</v>
      </c>
      <c r="AW231" s="20" t="str">
        <f>HYPERLINK("https://www.google.iq/maps/search/+33.9928,44.8955/@33.9928,44.8955,14z?hl=en","Maplink2")</f>
        <v>Maplink2</v>
      </c>
      <c r="AX231" s="20" t="str">
        <f>HYPERLINK("http://www.bing.com/maps/?lvl=14&amp;sty=h&amp;cp=33.9928~44.8955&amp;sp=point.33.9928_44.8955_Jubtin village","Maplink3")</f>
        <v>Maplink3</v>
      </c>
    </row>
    <row r="232" spans="1:50" x14ac:dyDescent="0.25">
      <c r="A232" s="9">
        <v>21308</v>
      </c>
      <c r="B232" s="10" t="s">
        <v>13</v>
      </c>
      <c r="C232" s="10" t="s">
        <v>410</v>
      </c>
      <c r="D232" s="10" t="s">
        <v>971</v>
      </c>
      <c r="E232" s="10" t="s">
        <v>462</v>
      </c>
      <c r="F232" s="10">
        <v>33.9878</v>
      </c>
      <c r="G232" s="10">
        <v>44.946599999999997</v>
      </c>
      <c r="H232" s="10" t="s">
        <v>265</v>
      </c>
      <c r="I232" s="10" t="s">
        <v>412</v>
      </c>
      <c r="J232" s="10" t="s">
        <v>463</v>
      </c>
      <c r="K232" s="11">
        <v>24</v>
      </c>
      <c r="L232" s="11">
        <v>144</v>
      </c>
      <c r="M232" s="11"/>
      <c r="N232" s="11"/>
      <c r="O232" s="11"/>
      <c r="P232" s="11"/>
      <c r="Q232" s="11"/>
      <c r="R232" s="11">
        <v>24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>
        <v>24</v>
      </c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>
        <v>24</v>
      </c>
      <c r="AR232" s="11"/>
      <c r="AS232" s="11"/>
      <c r="AT232" s="11"/>
      <c r="AU232" s="11"/>
      <c r="AV232" s="20" t="str">
        <f>HYPERLINK("http://www.openstreetmap.org/?mlat=33.9878&amp;mlon=44.9466&amp;zoom=12#map=12/33.9878/44.9466","Maplink1")</f>
        <v>Maplink1</v>
      </c>
      <c r="AW232" s="20" t="str">
        <f>HYPERLINK("https://www.google.iq/maps/search/+33.9878,44.9466/@33.9878,44.9466,14z?hl=en","Maplink2")</f>
        <v>Maplink2</v>
      </c>
      <c r="AX232" s="20" t="str">
        <f>HYPERLINK("http://www.bing.com/maps/?lvl=14&amp;sty=h&amp;cp=33.9878~44.9466&amp;sp=point.33.9878_44.9466_Mahallat door Al-dhubbat","Maplink3")</f>
        <v>Maplink3</v>
      </c>
    </row>
    <row r="233" spans="1:50" x14ac:dyDescent="0.25">
      <c r="A233" s="9">
        <v>11414</v>
      </c>
      <c r="B233" s="10" t="s">
        <v>13</v>
      </c>
      <c r="C233" s="10" t="s">
        <v>410</v>
      </c>
      <c r="D233" s="10" t="s">
        <v>972</v>
      </c>
      <c r="E233" s="10" t="s">
        <v>427</v>
      </c>
      <c r="F233" s="10">
        <v>33.992800000000003</v>
      </c>
      <c r="G233" s="10">
        <v>44.916899999999998</v>
      </c>
      <c r="H233" s="10" t="s">
        <v>265</v>
      </c>
      <c r="I233" s="10" t="s">
        <v>412</v>
      </c>
      <c r="J233" s="10" t="s">
        <v>428</v>
      </c>
      <c r="K233" s="11">
        <v>60</v>
      </c>
      <c r="L233" s="11">
        <v>360</v>
      </c>
      <c r="M233" s="11"/>
      <c r="N233" s="11"/>
      <c r="O233" s="11"/>
      <c r="P233" s="11"/>
      <c r="Q233" s="11"/>
      <c r="R233" s="11">
        <v>40</v>
      </c>
      <c r="S233" s="11"/>
      <c r="T233" s="11"/>
      <c r="U233" s="11"/>
      <c r="V233" s="11"/>
      <c r="W233" s="11"/>
      <c r="X233" s="11"/>
      <c r="Y233" s="11"/>
      <c r="Z233" s="11"/>
      <c r="AA233" s="11"/>
      <c r="AB233" s="11">
        <v>20</v>
      </c>
      <c r="AC233" s="11"/>
      <c r="AD233" s="11"/>
      <c r="AE233" s="11"/>
      <c r="AF233" s="11">
        <v>30</v>
      </c>
      <c r="AG233" s="11"/>
      <c r="AH233" s="11"/>
      <c r="AI233" s="11"/>
      <c r="AJ233" s="11"/>
      <c r="AK233" s="11"/>
      <c r="AL233" s="11"/>
      <c r="AM233" s="11"/>
      <c r="AN233" s="11">
        <v>30</v>
      </c>
      <c r="AO233" s="11"/>
      <c r="AP233" s="11"/>
      <c r="AQ233" s="11"/>
      <c r="AR233" s="11"/>
      <c r="AS233" s="11">
        <v>60</v>
      </c>
      <c r="AT233" s="11"/>
      <c r="AU233" s="11"/>
      <c r="AV233" s="20" t="str">
        <f>HYPERLINK("http://www.openstreetmap.org/?mlat=33.9928&amp;mlon=44.9169&amp;zoom=12#map=12/33.9928/44.9169","Maplink1")</f>
        <v>Maplink1</v>
      </c>
      <c r="AW233" s="20" t="str">
        <f>HYPERLINK("https://www.google.iq/maps/search/+33.9928,44.9169/@33.9928,44.9169,14z?hl=en","Maplink2")</f>
        <v>Maplink2</v>
      </c>
      <c r="AX233" s="20" t="str">
        <f>HYPERLINK("http://www.bing.com/maps/?lvl=14&amp;sty=h&amp;cp=33.9928~44.9169&amp;sp=point.33.9928_44.9169_Al-Mithaq village","Maplink3")</f>
        <v>Maplink3</v>
      </c>
    </row>
    <row r="234" spans="1:50" x14ac:dyDescent="0.25">
      <c r="A234" s="9">
        <v>25685</v>
      </c>
      <c r="B234" s="10" t="s">
        <v>13</v>
      </c>
      <c r="C234" s="10" t="s">
        <v>410</v>
      </c>
      <c r="D234" s="10" t="s">
        <v>464</v>
      </c>
      <c r="E234" s="10" t="s">
        <v>465</v>
      </c>
      <c r="F234" s="10">
        <v>33.961599999999997</v>
      </c>
      <c r="G234" s="10">
        <v>44.918399999999998</v>
      </c>
      <c r="H234" s="10" t="s">
        <v>265</v>
      </c>
      <c r="I234" s="10" t="s">
        <v>412</v>
      </c>
      <c r="J234" s="10"/>
      <c r="K234" s="11">
        <v>177</v>
      </c>
      <c r="L234" s="11">
        <v>1062</v>
      </c>
      <c r="M234" s="11"/>
      <c r="N234" s="11"/>
      <c r="O234" s="11"/>
      <c r="P234" s="11"/>
      <c r="Q234" s="11"/>
      <c r="R234" s="11">
        <v>177</v>
      </c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>
        <v>107</v>
      </c>
      <c r="AG234" s="11"/>
      <c r="AH234" s="11"/>
      <c r="AI234" s="11"/>
      <c r="AJ234" s="11"/>
      <c r="AK234" s="11"/>
      <c r="AL234" s="11"/>
      <c r="AM234" s="11"/>
      <c r="AN234" s="11">
        <v>70</v>
      </c>
      <c r="AO234" s="11"/>
      <c r="AP234" s="11"/>
      <c r="AQ234" s="11"/>
      <c r="AR234" s="11"/>
      <c r="AS234" s="11">
        <v>177</v>
      </c>
      <c r="AT234" s="11"/>
      <c r="AU234" s="11"/>
      <c r="AV234" s="20" t="str">
        <f>HYPERLINK("http://www.openstreetmap.org/?mlat=33.9616&amp;mlon=44.9184&amp;zoom=12#map=12/33.9616/44.9184","Maplink1")</f>
        <v>Maplink1</v>
      </c>
      <c r="AW234" s="20" t="str">
        <f>HYPERLINK("https://www.google.iq/maps/search/+33.9616,44.9184/@33.9616,44.9184,14z?hl=en","Maplink2")</f>
        <v>Maplink2</v>
      </c>
      <c r="AX234" s="20" t="str">
        <f>HYPERLINK("http://www.bing.com/maps/?lvl=14&amp;sty=h&amp;cp=33.9616~44.9184&amp;sp=point.33.9616_44.9184_Nahr Al-shaykh village","Maplink3")</f>
        <v>Maplink3</v>
      </c>
    </row>
    <row r="235" spans="1:50" x14ac:dyDescent="0.25">
      <c r="A235" s="9">
        <v>25948</v>
      </c>
      <c r="B235" s="10" t="s">
        <v>13</v>
      </c>
      <c r="C235" s="10" t="s">
        <v>410</v>
      </c>
      <c r="D235" s="10" t="s">
        <v>466</v>
      </c>
      <c r="E235" s="10" t="s">
        <v>467</v>
      </c>
      <c r="F235" s="10">
        <v>34.021099999999997</v>
      </c>
      <c r="G235" s="10">
        <v>44.925199999999997</v>
      </c>
      <c r="H235" s="10" t="s">
        <v>265</v>
      </c>
      <c r="I235" s="10" t="s">
        <v>412</v>
      </c>
      <c r="J235" s="10"/>
      <c r="K235" s="11">
        <v>322</v>
      </c>
      <c r="L235" s="11">
        <v>1932</v>
      </c>
      <c r="M235" s="11"/>
      <c r="N235" s="11"/>
      <c r="O235" s="11"/>
      <c r="P235" s="11"/>
      <c r="Q235" s="11"/>
      <c r="R235" s="11">
        <v>322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>
        <v>176</v>
      </c>
      <c r="AG235" s="11"/>
      <c r="AH235" s="11"/>
      <c r="AI235" s="11"/>
      <c r="AJ235" s="11"/>
      <c r="AK235" s="11"/>
      <c r="AL235" s="11"/>
      <c r="AM235" s="11"/>
      <c r="AN235" s="11">
        <v>146</v>
      </c>
      <c r="AO235" s="11"/>
      <c r="AP235" s="11"/>
      <c r="AQ235" s="11"/>
      <c r="AR235" s="11"/>
      <c r="AS235" s="11">
        <v>322</v>
      </c>
      <c r="AT235" s="11"/>
      <c r="AU235" s="11"/>
      <c r="AV235" s="20" t="str">
        <f>HYPERLINK("http://www.openstreetmap.org/?mlat=34.0211&amp;mlon=44.9252&amp;zoom=12#map=12/34.0211/44.9252","Maplink1")</f>
        <v>Maplink1</v>
      </c>
      <c r="AW235" s="20" t="str">
        <f>HYPERLINK("https://www.google.iq/maps/search/+34.0211,44.9252/@34.0211,44.9252,14z?hl=en","Maplink2")</f>
        <v>Maplink2</v>
      </c>
      <c r="AX235" s="20" t="str">
        <f>HYPERLINK("http://www.bing.com/maps/?lvl=14&amp;sty=h&amp;cp=34.0211~44.9252&amp;sp=point.34.0211_44.9252_Nofal village","Maplink3")</f>
        <v>Maplink3</v>
      </c>
    </row>
    <row r="236" spans="1:50" x14ac:dyDescent="0.25">
      <c r="A236" s="9">
        <v>26029</v>
      </c>
      <c r="B236" s="10" t="s">
        <v>13</v>
      </c>
      <c r="C236" s="10" t="s">
        <v>410</v>
      </c>
      <c r="D236" s="10" t="s">
        <v>468</v>
      </c>
      <c r="E236" s="10" t="s">
        <v>469</v>
      </c>
      <c r="F236" s="10">
        <v>33.990699999999997</v>
      </c>
      <c r="G236" s="10">
        <v>44.866599999999998</v>
      </c>
      <c r="H236" s="10" t="s">
        <v>265</v>
      </c>
      <c r="I236" s="10" t="s">
        <v>412</v>
      </c>
      <c r="J236" s="10"/>
      <c r="K236" s="11">
        <v>380</v>
      </c>
      <c r="L236" s="11">
        <v>2280</v>
      </c>
      <c r="M236" s="11"/>
      <c r="N236" s="11"/>
      <c r="O236" s="11"/>
      <c r="P236" s="11"/>
      <c r="Q236" s="11"/>
      <c r="R236" s="11">
        <v>380</v>
      </c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>
        <v>200</v>
      </c>
      <c r="AG236" s="11"/>
      <c r="AH236" s="11"/>
      <c r="AI236" s="11"/>
      <c r="AJ236" s="11"/>
      <c r="AK236" s="11"/>
      <c r="AL236" s="11"/>
      <c r="AM236" s="11"/>
      <c r="AN236" s="11">
        <v>180</v>
      </c>
      <c r="AO236" s="11"/>
      <c r="AP236" s="11"/>
      <c r="AQ236" s="11"/>
      <c r="AR236" s="11"/>
      <c r="AS236" s="11">
        <v>380</v>
      </c>
      <c r="AT236" s="11"/>
      <c r="AU236" s="11"/>
      <c r="AV236" s="20" t="str">
        <f>HYPERLINK("http://www.openstreetmap.org/?mlat=33.9907&amp;mlon=44.8666&amp;zoom=12#map=12/33.9907/44.8666","Maplink1")</f>
        <v>Maplink1</v>
      </c>
      <c r="AW236" s="20" t="str">
        <f>HYPERLINK("https://www.google.iq/maps/search/+33.9907,44.8666/@33.9907,44.8666,14z?hl=en","Maplink2")</f>
        <v>Maplink2</v>
      </c>
      <c r="AX236" s="20" t="str">
        <f>HYPERLINK("http://www.bing.com/maps/?lvl=14&amp;sty=h&amp;cp=33.9907~44.8666&amp;sp=point.33.9907_44.8666_Parwana village","Maplink3")</f>
        <v>Maplink3</v>
      </c>
    </row>
    <row r="237" spans="1:50" x14ac:dyDescent="0.25">
      <c r="A237" s="9">
        <v>11355</v>
      </c>
      <c r="B237" s="10" t="s">
        <v>13</v>
      </c>
      <c r="C237" s="10" t="s">
        <v>410</v>
      </c>
      <c r="D237" s="10" t="s">
        <v>973</v>
      </c>
      <c r="E237" s="10" t="s">
        <v>1174</v>
      </c>
      <c r="F237" s="10">
        <v>33.97</v>
      </c>
      <c r="G237" s="10">
        <v>44.91</v>
      </c>
      <c r="H237" s="10" t="s">
        <v>265</v>
      </c>
      <c r="I237" s="10" t="s">
        <v>412</v>
      </c>
      <c r="J237" s="10" t="s">
        <v>439</v>
      </c>
      <c r="K237" s="11">
        <v>251</v>
      </c>
      <c r="L237" s="11">
        <v>1506</v>
      </c>
      <c r="M237" s="11"/>
      <c r="N237" s="11"/>
      <c r="O237" s="11"/>
      <c r="P237" s="11"/>
      <c r="Q237" s="11"/>
      <c r="R237" s="11">
        <v>251</v>
      </c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>
        <v>251</v>
      </c>
      <c r="AO237" s="11"/>
      <c r="AP237" s="11"/>
      <c r="AQ237" s="11"/>
      <c r="AR237" s="11"/>
      <c r="AS237" s="11">
        <v>251</v>
      </c>
      <c r="AT237" s="11"/>
      <c r="AU237" s="11"/>
      <c r="AV237" s="20" t="str">
        <f>HYPERLINK("http://www.openstreetmap.org/?mlat=33.97&amp;mlon=44.91&amp;zoom=12#map=12/33.97/44.91","Maplink1")</f>
        <v>Maplink1</v>
      </c>
      <c r="AW237" s="20" t="str">
        <f>HYPERLINK("https://www.google.iq/maps/search/+33.97,44.91/@33.97,44.91,14z?hl=en","Maplink2")</f>
        <v>Maplink2</v>
      </c>
      <c r="AX237" s="20" t="str">
        <f>HYPERLINK("http://www.bing.com/maps/?lvl=14&amp;sty=h&amp;cp=33.97~44.91&amp;sp=point.33.97_44.91_Al-Taiha village","Maplink3")</f>
        <v>Maplink3</v>
      </c>
    </row>
    <row r="238" spans="1:50" x14ac:dyDescent="0.25">
      <c r="A238" s="9">
        <v>11327</v>
      </c>
      <c r="B238" s="10" t="s">
        <v>13</v>
      </c>
      <c r="C238" s="10" t="s">
        <v>410</v>
      </c>
      <c r="D238" s="10" t="s">
        <v>974</v>
      </c>
      <c r="E238" s="10" t="s">
        <v>457</v>
      </c>
      <c r="F238" s="10">
        <v>33.950000000000003</v>
      </c>
      <c r="G238" s="10">
        <v>44.82</v>
      </c>
      <c r="H238" s="10" t="s">
        <v>265</v>
      </c>
      <c r="I238" s="10" t="s">
        <v>412</v>
      </c>
      <c r="J238" s="10" t="s">
        <v>458</v>
      </c>
      <c r="K238" s="11">
        <v>218</v>
      </c>
      <c r="L238" s="11">
        <v>1308</v>
      </c>
      <c r="M238" s="11"/>
      <c r="N238" s="11"/>
      <c r="O238" s="11"/>
      <c r="P238" s="11"/>
      <c r="Q238" s="11"/>
      <c r="R238" s="11">
        <v>128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>
        <v>90</v>
      </c>
      <c r="AC238" s="11"/>
      <c r="AD238" s="11"/>
      <c r="AE238" s="11"/>
      <c r="AF238" s="11">
        <v>90</v>
      </c>
      <c r="AG238" s="11"/>
      <c r="AH238" s="11"/>
      <c r="AI238" s="11"/>
      <c r="AJ238" s="11"/>
      <c r="AK238" s="11"/>
      <c r="AL238" s="11"/>
      <c r="AM238" s="11"/>
      <c r="AN238" s="11">
        <v>128</v>
      </c>
      <c r="AO238" s="11"/>
      <c r="AP238" s="11"/>
      <c r="AQ238" s="11"/>
      <c r="AR238" s="11"/>
      <c r="AS238" s="11">
        <v>218</v>
      </c>
      <c r="AT238" s="11"/>
      <c r="AU238" s="11"/>
      <c r="AV238" s="20" t="str">
        <f>HYPERLINK("http://www.openstreetmap.org/?mlat=33.95&amp;mlon=44.82&amp;zoom=12#map=12/33.95/44.82","Maplink1")</f>
        <v>Maplink1</v>
      </c>
      <c r="AW238" s="20" t="str">
        <f>HYPERLINK("https://www.google.iq/maps/search/+33.95,44.82/@33.95,44.82,14z?hl=en","Maplink2")</f>
        <v>Maplink2</v>
      </c>
      <c r="AX238" s="20" t="str">
        <f>HYPERLINK("http://www.bing.com/maps/?lvl=14&amp;sty=h&amp;cp=33.95~44.82&amp;sp=point.33.95_44.82_Imam Talib village","Maplink3")</f>
        <v>Maplink3</v>
      </c>
    </row>
    <row r="239" spans="1:50" x14ac:dyDescent="0.25">
      <c r="A239" s="9">
        <v>26115</v>
      </c>
      <c r="B239" s="10" t="s">
        <v>13</v>
      </c>
      <c r="C239" s="10" t="s">
        <v>410</v>
      </c>
      <c r="D239" s="10" t="s">
        <v>470</v>
      </c>
      <c r="E239" s="10" t="s">
        <v>471</v>
      </c>
      <c r="F239" s="10">
        <v>33.995899999999999</v>
      </c>
      <c r="G239" s="10">
        <v>44.917700000000004</v>
      </c>
      <c r="H239" s="10" t="s">
        <v>265</v>
      </c>
      <c r="I239" s="10" t="s">
        <v>412</v>
      </c>
      <c r="J239" s="10"/>
      <c r="K239" s="11">
        <v>529</v>
      </c>
      <c r="L239" s="11">
        <v>3174</v>
      </c>
      <c r="M239" s="11"/>
      <c r="N239" s="11"/>
      <c r="O239" s="11"/>
      <c r="P239" s="11"/>
      <c r="Q239" s="11"/>
      <c r="R239" s="11">
        <v>489</v>
      </c>
      <c r="S239" s="11"/>
      <c r="T239" s="11"/>
      <c r="U239" s="11">
        <v>25</v>
      </c>
      <c r="V239" s="11"/>
      <c r="W239" s="11"/>
      <c r="X239" s="11"/>
      <c r="Y239" s="11"/>
      <c r="Z239" s="11"/>
      <c r="AA239" s="11"/>
      <c r="AB239" s="11">
        <v>15</v>
      </c>
      <c r="AC239" s="11"/>
      <c r="AD239" s="11"/>
      <c r="AE239" s="11"/>
      <c r="AF239" s="11">
        <v>415</v>
      </c>
      <c r="AG239" s="11"/>
      <c r="AH239" s="11"/>
      <c r="AI239" s="11"/>
      <c r="AJ239" s="11"/>
      <c r="AK239" s="11"/>
      <c r="AL239" s="11"/>
      <c r="AM239" s="11"/>
      <c r="AN239" s="11">
        <v>114</v>
      </c>
      <c r="AO239" s="11"/>
      <c r="AP239" s="11"/>
      <c r="AQ239" s="11"/>
      <c r="AR239" s="11"/>
      <c r="AS239" s="11">
        <v>529</v>
      </c>
      <c r="AT239" s="11"/>
      <c r="AU239" s="11"/>
      <c r="AV239" s="20" t="str">
        <f>HYPERLINK("http://www.openstreetmap.org/?mlat=33.9959&amp;mlon=44.9177&amp;zoom=12#map=12/33.9959/44.9177","Maplink1")</f>
        <v>Maplink1</v>
      </c>
      <c r="AW239" s="20" t="str">
        <f>HYPERLINK("https://www.google.iq/maps/search/+33.9959,44.9177/@33.9959,44.9177,14z?hl=en","Maplink2")</f>
        <v>Maplink2</v>
      </c>
      <c r="AX239" s="20" t="str">
        <f>HYPERLINK("http://www.bing.com/maps/?lvl=14&amp;sty=h&amp;cp=33.9959~44.9177&amp;sp=point.33.9959_44.9177_Shak Al-rak village","Maplink3")</f>
        <v>Maplink3</v>
      </c>
    </row>
    <row r="240" spans="1:50" x14ac:dyDescent="0.25">
      <c r="A240" s="9">
        <v>26027</v>
      </c>
      <c r="B240" s="10" t="s">
        <v>13</v>
      </c>
      <c r="C240" s="10" t="s">
        <v>410</v>
      </c>
      <c r="D240" s="10" t="s">
        <v>472</v>
      </c>
      <c r="E240" s="10" t="s">
        <v>473</v>
      </c>
      <c r="F240" s="10">
        <v>33.982199999999999</v>
      </c>
      <c r="G240" s="10">
        <v>44.894500000000001</v>
      </c>
      <c r="H240" s="10" t="s">
        <v>265</v>
      </c>
      <c r="I240" s="10" t="s">
        <v>412</v>
      </c>
      <c r="J240" s="10"/>
      <c r="K240" s="11">
        <v>22</v>
      </c>
      <c r="L240" s="11">
        <v>132</v>
      </c>
      <c r="M240" s="11"/>
      <c r="N240" s="11"/>
      <c r="O240" s="11"/>
      <c r="P240" s="11"/>
      <c r="Q240" s="11"/>
      <c r="R240" s="11">
        <v>22</v>
      </c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>
        <v>22</v>
      </c>
      <c r="AO240" s="11"/>
      <c r="AP240" s="11"/>
      <c r="AQ240" s="11"/>
      <c r="AR240" s="11"/>
      <c r="AS240" s="11">
        <v>22</v>
      </c>
      <c r="AT240" s="11"/>
      <c r="AU240" s="11"/>
      <c r="AV240" s="20" t="str">
        <f>HYPERLINK("http://www.openstreetmap.org/?mlat=33.9822&amp;mlon=44.8945&amp;zoom=12#map=12/33.9822/44.8945","Maplink1")</f>
        <v>Maplink1</v>
      </c>
      <c r="AW240" s="20" t="str">
        <f>HYPERLINK("https://www.google.iq/maps/search/+33.9822,44.8945/@33.9822,44.8945,14z?hl=en","Maplink2")</f>
        <v>Maplink2</v>
      </c>
      <c r="AX240" s="20" t="str">
        <f>HYPERLINK("http://www.bing.com/maps/?lvl=14&amp;sty=h&amp;cp=33.9822~44.8945&amp;sp=point.33.9822_44.8945_Shamamla village","Maplink3")</f>
        <v>Maplink3</v>
      </c>
    </row>
    <row r="241" spans="1:50" x14ac:dyDescent="0.25">
      <c r="A241" s="9">
        <v>26031</v>
      </c>
      <c r="B241" s="10" t="s">
        <v>13</v>
      </c>
      <c r="C241" s="10" t="s">
        <v>410</v>
      </c>
      <c r="D241" s="10" t="s">
        <v>474</v>
      </c>
      <c r="E241" s="10" t="s">
        <v>475</v>
      </c>
      <c r="F241" s="10">
        <v>34.035400000000003</v>
      </c>
      <c r="G241" s="10">
        <v>44.927900000000001</v>
      </c>
      <c r="H241" s="10" t="s">
        <v>265</v>
      </c>
      <c r="I241" s="10" t="s">
        <v>412</v>
      </c>
      <c r="J241" s="10"/>
      <c r="K241" s="11">
        <v>35</v>
      </c>
      <c r="L241" s="11">
        <v>210</v>
      </c>
      <c r="M241" s="11"/>
      <c r="N241" s="11"/>
      <c r="O241" s="11"/>
      <c r="P241" s="11"/>
      <c r="Q241" s="11"/>
      <c r="R241" s="11">
        <v>35</v>
      </c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>
        <v>35</v>
      </c>
      <c r="AO241" s="11"/>
      <c r="AP241" s="11"/>
      <c r="AQ241" s="11"/>
      <c r="AR241" s="11"/>
      <c r="AS241" s="11">
        <v>35</v>
      </c>
      <c r="AT241" s="11"/>
      <c r="AU241" s="11"/>
      <c r="AV241" s="20" t="str">
        <f>HYPERLINK("http://www.openstreetmap.org/?mlat=34.0354&amp;mlon=44.9279&amp;zoom=12#map=12/34.0354/44.9279","Maplink1")</f>
        <v>Maplink1</v>
      </c>
      <c r="AW241" s="20" t="str">
        <f>HYPERLINK("https://www.google.iq/maps/search/+34.0354,44.9279/@34.0354,44.9279,14z?hl=en","Maplink2")</f>
        <v>Maplink2</v>
      </c>
      <c r="AX241" s="20" t="str">
        <f>HYPERLINK("http://www.bing.com/maps/?lvl=14&amp;sty=h&amp;cp=34.0354~44.9279&amp;sp=point.34.0354_44.9279_Shamarkhi village","Maplink3")</f>
        <v>Maplink3</v>
      </c>
    </row>
    <row r="242" spans="1:50" x14ac:dyDescent="0.25">
      <c r="A242" s="9">
        <v>11287</v>
      </c>
      <c r="B242" s="10" t="s">
        <v>13</v>
      </c>
      <c r="C242" s="10" t="s">
        <v>410</v>
      </c>
      <c r="D242" s="10" t="s">
        <v>975</v>
      </c>
      <c r="E242" s="10" t="s">
        <v>476</v>
      </c>
      <c r="F242" s="10">
        <v>33.97</v>
      </c>
      <c r="G242" s="10">
        <v>44.93</v>
      </c>
      <c r="H242" s="10" t="s">
        <v>265</v>
      </c>
      <c r="I242" s="10" t="s">
        <v>412</v>
      </c>
      <c r="J242" s="10" t="s">
        <v>477</v>
      </c>
      <c r="K242" s="11">
        <v>319</v>
      </c>
      <c r="L242" s="11">
        <v>1914</v>
      </c>
      <c r="M242" s="11"/>
      <c r="N242" s="11"/>
      <c r="O242" s="11"/>
      <c r="P242" s="11"/>
      <c r="Q242" s="11"/>
      <c r="R242" s="11">
        <v>219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1">
        <v>100</v>
      </c>
      <c r="AC242" s="11"/>
      <c r="AD242" s="11"/>
      <c r="AE242" s="11"/>
      <c r="AF242" s="11">
        <v>64</v>
      </c>
      <c r="AG242" s="11"/>
      <c r="AH242" s="11"/>
      <c r="AI242" s="11"/>
      <c r="AJ242" s="11"/>
      <c r="AK242" s="11"/>
      <c r="AL242" s="11"/>
      <c r="AM242" s="11"/>
      <c r="AN242" s="11">
        <v>255</v>
      </c>
      <c r="AO242" s="11"/>
      <c r="AP242" s="11"/>
      <c r="AQ242" s="11"/>
      <c r="AR242" s="11"/>
      <c r="AS242" s="11">
        <v>319</v>
      </c>
      <c r="AT242" s="11"/>
      <c r="AU242" s="11"/>
      <c r="AV242" s="20" t="str">
        <f>HYPERLINK("http://www.openstreetmap.org/?mlat=33.97&amp;mlon=44.93&amp;zoom=12#map=12/33.97/44.93","Maplink1")</f>
        <v>Maplink1</v>
      </c>
      <c r="AW242" s="20" t="str">
        <f>HYPERLINK("https://www.google.iq/maps/search/+33.97,44.93/@33.97,44.93,14z?hl=en","Maplink2")</f>
        <v>Maplink2</v>
      </c>
      <c r="AX242" s="20" t="str">
        <f>HYPERLINK("http://www.bing.com/maps/?lvl=14&amp;sty=h&amp;cp=33.97~44.93&amp;sp=point.33.97_44.93_Shok Al-Reem village","Maplink3")</f>
        <v>Maplink3</v>
      </c>
    </row>
    <row r="243" spans="1:50" x14ac:dyDescent="0.25">
      <c r="A243" s="9">
        <v>23131</v>
      </c>
      <c r="B243" s="10" t="s">
        <v>13</v>
      </c>
      <c r="C243" s="10" t="s">
        <v>410</v>
      </c>
      <c r="D243" s="10" t="s">
        <v>478</v>
      </c>
      <c r="E243" s="10" t="s">
        <v>479</v>
      </c>
      <c r="F243" s="10">
        <v>34.021799999999999</v>
      </c>
      <c r="G243" s="10">
        <v>44.933500000000002</v>
      </c>
      <c r="H243" s="10" t="s">
        <v>265</v>
      </c>
      <c r="I243" s="10" t="s">
        <v>412</v>
      </c>
      <c r="J243" s="10"/>
      <c r="K243" s="11">
        <v>49</v>
      </c>
      <c r="L243" s="11">
        <v>294</v>
      </c>
      <c r="M243" s="11"/>
      <c r="N243" s="11"/>
      <c r="O243" s="11"/>
      <c r="P243" s="11"/>
      <c r="Q243" s="11"/>
      <c r="R243" s="11">
        <v>49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>
        <v>49</v>
      </c>
      <c r="AO243" s="11"/>
      <c r="AP243" s="11"/>
      <c r="AQ243" s="11"/>
      <c r="AR243" s="11"/>
      <c r="AS243" s="11">
        <v>49</v>
      </c>
      <c r="AT243" s="11"/>
      <c r="AU243" s="11"/>
      <c r="AV243" s="20" t="str">
        <f>HYPERLINK("http://www.openstreetmap.org/?mlat=34.0218&amp;mlon=44.9335&amp;zoom=12#map=12/34.0218/44.9335","Maplink1")</f>
        <v>Maplink1</v>
      </c>
      <c r="AW243" s="20" t="str">
        <f>HYPERLINK("https://www.google.iq/maps/search/+34.0218,44.9335/@34.0218,44.9335,14z?hl=en","Maplink2")</f>
        <v>Maplink2</v>
      </c>
      <c r="AX243" s="20" t="str">
        <f>HYPERLINK("http://www.bing.com/maps/?lvl=14&amp;sty=h&amp;cp=34.0218~44.9335&amp;sp=point.34.0218_44.9335_Sinsil Al-wasat village","Maplink3")</f>
        <v>Maplink3</v>
      </c>
    </row>
    <row r="244" spans="1:50" x14ac:dyDescent="0.25">
      <c r="A244" s="9">
        <v>25679</v>
      </c>
      <c r="B244" s="10" t="s">
        <v>13</v>
      </c>
      <c r="C244" s="10" t="s">
        <v>410</v>
      </c>
      <c r="D244" s="10" t="s">
        <v>480</v>
      </c>
      <c r="E244" s="10" t="s">
        <v>481</v>
      </c>
      <c r="F244" s="10">
        <v>33.972200000000001</v>
      </c>
      <c r="G244" s="10">
        <v>44.9512</v>
      </c>
      <c r="H244" s="10" t="s">
        <v>265</v>
      </c>
      <c r="I244" s="10" t="s">
        <v>412</v>
      </c>
      <c r="J244" s="10"/>
      <c r="K244" s="11">
        <v>140</v>
      </c>
      <c r="L244" s="11">
        <v>840</v>
      </c>
      <c r="M244" s="11"/>
      <c r="N244" s="11"/>
      <c r="O244" s="11"/>
      <c r="P244" s="11"/>
      <c r="Q244" s="11"/>
      <c r="R244" s="11">
        <v>140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>
        <v>40</v>
      </c>
      <c r="AG244" s="11"/>
      <c r="AH244" s="11"/>
      <c r="AI244" s="11"/>
      <c r="AJ244" s="11"/>
      <c r="AK244" s="11"/>
      <c r="AL244" s="11"/>
      <c r="AM244" s="11"/>
      <c r="AN244" s="11">
        <v>100</v>
      </c>
      <c r="AO244" s="11"/>
      <c r="AP244" s="11"/>
      <c r="AQ244" s="11"/>
      <c r="AR244" s="11"/>
      <c r="AS244" s="11">
        <v>140</v>
      </c>
      <c r="AT244" s="11"/>
      <c r="AU244" s="11"/>
      <c r="AV244" s="20" t="str">
        <f>HYPERLINK("http://www.openstreetmap.org/?mlat=33.9722&amp;mlon=44.9512&amp;zoom=12#map=12/33.9722/44.9512","Maplink1")</f>
        <v>Maplink1</v>
      </c>
      <c r="AW244" s="20" t="str">
        <f>HYPERLINK("https://www.google.iq/maps/search/+33.9722,44.9512/@33.9722,44.9512,14z?hl=en","Maplink2")</f>
        <v>Maplink2</v>
      </c>
      <c r="AX244" s="20" t="str">
        <f>HYPERLINK("http://www.bing.com/maps/?lvl=14&amp;sty=h&amp;cp=33.9722~44.9512&amp;sp=point.33.9722_44.9512_Skheyr village","Maplink3")</f>
        <v>Maplink3</v>
      </c>
    </row>
    <row r="245" spans="1:50" x14ac:dyDescent="0.25">
      <c r="A245" s="9">
        <v>26113</v>
      </c>
      <c r="B245" s="10" t="s">
        <v>13</v>
      </c>
      <c r="C245" s="10" t="s">
        <v>410</v>
      </c>
      <c r="D245" s="10" t="s">
        <v>482</v>
      </c>
      <c r="E245" s="10" t="s">
        <v>483</v>
      </c>
      <c r="F245" s="10">
        <v>34.061100000000003</v>
      </c>
      <c r="G245" s="10">
        <v>44.977499999999999</v>
      </c>
      <c r="H245" s="10" t="s">
        <v>265</v>
      </c>
      <c r="I245" s="10" t="s">
        <v>412</v>
      </c>
      <c r="J245" s="10"/>
      <c r="K245" s="11">
        <v>60</v>
      </c>
      <c r="L245" s="11">
        <v>360</v>
      </c>
      <c r="M245" s="11"/>
      <c r="N245" s="11"/>
      <c r="O245" s="11"/>
      <c r="P245" s="11"/>
      <c r="Q245" s="11"/>
      <c r="R245" s="11">
        <v>60</v>
      </c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>
        <v>60</v>
      </c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>
        <v>60</v>
      </c>
      <c r="AT245" s="11"/>
      <c r="AU245" s="11"/>
      <c r="AV245" s="20" t="str">
        <f>HYPERLINK("http://www.openstreetmap.org/?mlat=34.0611&amp;mlon=44.9775&amp;zoom=12#map=12/34.0611/44.9775","Maplink1")</f>
        <v>Maplink1</v>
      </c>
      <c r="AW245" s="20" t="str">
        <f>HYPERLINK("https://www.google.iq/maps/search/+34.0611,44.9775/@34.0611,44.9775,14z?hl=en","Maplink2")</f>
        <v>Maplink2</v>
      </c>
      <c r="AX245" s="20" t="str">
        <f>HYPERLINK("http://www.bing.com/maps/?lvl=14&amp;sty=h&amp;cp=34.0611~44.9775&amp;sp=point.34.0611_44.9775_Sodoor Al-ray","Maplink3")</f>
        <v>Maplink3</v>
      </c>
    </row>
    <row r="246" spans="1:50" x14ac:dyDescent="0.25">
      <c r="A246" s="9">
        <v>27155</v>
      </c>
      <c r="B246" s="10" t="s">
        <v>13</v>
      </c>
      <c r="C246" s="10" t="s">
        <v>410</v>
      </c>
      <c r="D246" s="10" t="s">
        <v>976</v>
      </c>
      <c r="E246" s="10" t="s">
        <v>484</v>
      </c>
      <c r="F246" s="10">
        <v>33.985900000000001</v>
      </c>
      <c r="G246" s="10">
        <v>44.8187</v>
      </c>
      <c r="H246" s="10" t="s">
        <v>265</v>
      </c>
      <c r="I246" s="10" t="s">
        <v>412</v>
      </c>
      <c r="J246" s="10"/>
      <c r="K246" s="11">
        <v>30</v>
      </c>
      <c r="L246" s="11">
        <v>180</v>
      </c>
      <c r="M246" s="11"/>
      <c r="N246" s="11"/>
      <c r="O246" s="11"/>
      <c r="P246" s="11"/>
      <c r="Q246" s="11"/>
      <c r="R246" s="11">
        <v>30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>
        <v>30</v>
      </c>
      <c r="AO246" s="11"/>
      <c r="AP246" s="11"/>
      <c r="AQ246" s="11">
        <v>30</v>
      </c>
      <c r="AR246" s="11"/>
      <c r="AS246" s="11"/>
      <c r="AT246" s="11"/>
      <c r="AU246" s="11"/>
      <c r="AV246" s="20" t="str">
        <f>HYPERLINK("http://www.openstreetmap.org/?mlat=33.9859&amp;mlon=44.8187&amp;zoom=12#map=12/33.9859/44.8187","Maplink1")</f>
        <v>Maplink1</v>
      </c>
      <c r="AW246" s="20" t="str">
        <f>HYPERLINK("https://www.google.iq/maps/search/+33.9859,44.8187/@33.9859,44.8187,14z?hl=en","Maplink2")</f>
        <v>Maplink2</v>
      </c>
      <c r="AX246" s="20" t="str">
        <f>HYPERLINK("http://www.bing.com/maps/?lvl=14&amp;sty=h&amp;cp=33.9859~44.8187&amp;sp=point.33.9859_44.8187_Walosh1  village","Maplink3")</f>
        <v>Maplink3</v>
      </c>
    </row>
    <row r="247" spans="1:50" x14ac:dyDescent="0.25">
      <c r="A247" s="9">
        <v>27156</v>
      </c>
      <c r="B247" s="10" t="s">
        <v>13</v>
      </c>
      <c r="C247" s="10" t="s">
        <v>410</v>
      </c>
      <c r="D247" s="10" t="s">
        <v>977</v>
      </c>
      <c r="E247" s="10" t="s">
        <v>485</v>
      </c>
      <c r="F247" s="10">
        <v>33.985100000000003</v>
      </c>
      <c r="G247" s="10">
        <v>44.817700000000002</v>
      </c>
      <c r="H247" s="10" t="s">
        <v>265</v>
      </c>
      <c r="I247" s="10" t="s">
        <v>412</v>
      </c>
      <c r="J247" s="10"/>
      <c r="K247" s="11">
        <v>47</v>
      </c>
      <c r="L247" s="11">
        <v>282</v>
      </c>
      <c r="M247" s="11"/>
      <c r="N247" s="11"/>
      <c r="O247" s="11"/>
      <c r="P247" s="11"/>
      <c r="Q247" s="11"/>
      <c r="R247" s="11">
        <v>47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>
        <v>47</v>
      </c>
      <c r="AO247" s="11"/>
      <c r="AP247" s="11"/>
      <c r="AQ247" s="11">
        <v>47</v>
      </c>
      <c r="AR247" s="11"/>
      <c r="AS247" s="11"/>
      <c r="AT247" s="11"/>
      <c r="AU247" s="11"/>
      <c r="AV247" s="20" t="str">
        <f>HYPERLINK("http://www.openstreetmap.org/?mlat=33.9851&amp;mlon=44.8177&amp;zoom=12#map=12/33.9851/44.8177","Maplink1")</f>
        <v>Maplink1</v>
      </c>
      <c r="AW247" s="20" t="str">
        <f>HYPERLINK("https://www.google.iq/maps/search/+33.9851,44.8177/@33.9851,44.8177,14z?hl=en","Maplink2")</f>
        <v>Maplink2</v>
      </c>
      <c r="AX247" s="20" t="str">
        <f>HYPERLINK("http://www.bing.com/maps/?lvl=14&amp;sty=h&amp;cp=33.9851~44.8177&amp;sp=point.33.9851_44.8177_Walosh2  village","Maplink3")</f>
        <v>Maplink3</v>
      </c>
    </row>
    <row r="248" spans="1:50" x14ac:dyDescent="0.25">
      <c r="A248" s="9">
        <v>27392</v>
      </c>
      <c r="B248" s="10" t="s">
        <v>13</v>
      </c>
      <c r="C248" s="10" t="s">
        <v>486</v>
      </c>
      <c r="D248" s="10" t="s">
        <v>487</v>
      </c>
      <c r="E248" s="10" t="s">
        <v>488</v>
      </c>
      <c r="F248" s="10">
        <v>34.350825804999999</v>
      </c>
      <c r="G248" s="10">
        <v>45.415341887300002</v>
      </c>
      <c r="H248" s="10" t="s">
        <v>265</v>
      </c>
      <c r="I248" s="10" t="s">
        <v>489</v>
      </c>
      <c r="J248" s="10"/>
      <c r="K248" s="11">
        <v>378</v>
      </c>
      <c r="L248" s="11">
        <v>2268</v>
      </c>
      <c r="M248" s="11"/>
      <c r="N248" s="11"/>
      <c r="O248" s="11"/>
      <c r="P248" s="11"/>
      <c r="Q248" s="11"/>
      <c r="R248" s="11">
        <v>340</v>
      </c>
      <c r="S248" s="11"/>
      <c r="T248" s="11"/>
      <c r="U248" s="11">
        <v>15</v>
      </c>
      <c r="V248" s="11"/>
      <c r="W248" s="11"/>
      <c r="X248" s="11"/>
      <c r="Y248" s="11"/>
      <c r="Z248" s="11"/>
      <c r="AA248" s="11"/>
      <c r="AB248" s="11">
        <v>23</v>
      </c>
      <c r="AC248" s="11"/>
      <c r="AD248" s="11"/>
      <c r="AE248" s="11"/>
      <c r="AF248" s="11">
        <v>378</v>
      </c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>
        <v>378</v>
      </c>
      <c r="AR248" s="11"/>
      <c r="AS248" s="11"/>
      <c r="AT248" s="11"/>
      <c r="AU248" s="11"/>
      <c r="AV248" s="20" t="str">
        <f>HYPERLINK("http://www.openstreetmap.org/?mlat=34.1857&amp;mlon=45.1205&amp;zoom=12#map=12/34.1857/45.1205","Maplink1")</f>
        <v>Maplink1</v>
      </c>
      <c r="AW248" s="20" t="str">
        <f>HYPERLINK("https://www.google.iq/maps/search/+34.1857,45.1205/@34.1857,45.1205,14z?hl=en","Maplink2")</f>
        <v>Maplink2</v>
      </c>
      <c r="AX248" s="20" t="str">
        <f>HYPERLINK("http://www.bing.com/maps/?lvl=14&amp;sty=h&amp;cp=34.1857~45.1205&amp;sp=point.34.1857_45.1205_17Tamooz Qtr","Maplink3")</f>
        <v>Maplink3</v>
      </c>
    </row>
    <row r="249" spans="1:50" x14ac:dyDescent="0.25">
      <c r="A249" s="9">
        <v>29569</v>
      </c>
      <c r="B249" s="10" t="s">
        <v>13</v>
      </c>
      <c r="C249" s="10" t="s">
        <v>486</v>
      </c>
      <c r="D249" s="10" t="s">
        <v>978</v>
      </c>
      <c r="E249" s="10" t="s">
        <v>979</v>
      </c>
      <c r="F249" s="10">
        <v>34.276553</v>
      </c>
      <c r="G249" s="10">
        <v>45.166716000000001</v>
      </c>
      <c r="H249" s="10" t="s">
        <v>265</v>
      </c>
      <c r="I249" s="10" t="s">
        <v>489</v>
      </c>
      <c r="J249" s="10"/>
      <c r="K249" s="11">
        <v>1350</v>
      </c>
      <c r="L249" s="11">
        <v>8100</v>
      </c>
      <c r="M249" s="11"/>
      <c r="N249" s="11"/>
      <c r="O249" s="11"/>
      <c r="P249" s="11"/>
      <c r="Q249" s="11"/>
      <c r="R249" s="11">
        <v>1230</v>
      </c>
      <c r="S249" s="11"/>
      <c r="T249" s="11"/>
      <c r="U249" s="11">
        <v>20</v>
      </c>
      <c r="V249" s="11"/>
      <c r="W249" s="11"/>
      <c r="X249" s="11"/>
      <c r="Y249" s="11"/>
      <c r="Z249" s="11"/>
      <c r="AA249" s="11"/>
      <c r="AB249" s="11">
        <v>100</v>
      </c>
      <c r="AC249" s="11"/>
      <c r="AD249" s="11"/>
      <c r="AE249" s="11"/>
      <c r="AF249" s="11">
        <v>1350</v>
      </c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>
        <v>950</v>
      </c>
      <c r="AR249" s="11">
        <v>400</v>
      </c>
      <c r="AS249" s="11"/>
      <c r="AT249" s="11"/>
      <c r="AU249" s="11"/>
      <c r="AV249" s="20" t="str">
        <f>HYPERLINK("http://www.openstreetmap.org/?mlat=34.2766&amp;mlon=45.1667&amp;zoom=12#map=12/34.2766/45.1667","Maplink1")</f>
        <v>Maplink1</v>
      </c>
      <c r="AW249" s="20" t="str">
        <f>HYPERLINK("https://www.google.iq/maps/search/+34.2766,45.1667/@34.2766,45.1667,14z?hl=en","Maplink2")</f>
        <v>Maplink2</v>
      </c>
      <c r="AX249" s="20" t="str">
        <f>HYPERLINK("http://www.bing.com/maps/?lvl=14&amp;sty=h&amp;cp=34.2766~45.1667&amp;sp=point.34.2766_45.1667","Maplink3")</f>
        <v>Maplink3</v>
      </c>
    </row>
    <row r="250" spans="1:50" x14ac:dyDescent="0.25">
      <c r="A250" s="9">
        <v>29521</v>
      </c>
      <c r="B250" s="10" t="s">
        <v>13</v>
      </c>
      <c r="C250" s="10" t="s">
        <v>486</v>
      </c>
      <c r="D250" s="10" t="s">
        <v>490</v>
      </c>
      <c r="E250" s="10" t="s">
        <v>491</v>
      </c>
      <c r="F250" s="10">
        <v>34.177523833899997</v>
      </c>
      <c r="G250" s="10">
        <v>45.1212783386</v>
      </c>
      <c r="H250" s="10" t="s">
        <v>265</v>
      </c>
      <c r="I250" s="10" t="s">
        <v>489</v>
      </c>
      <c r="J250" s="10"/>
      <c r="K250" s="11">
        <v>150</v>
      </c>
      <c r="L250" s="11">
        <v>900</v>
      </c>
      <c r="M250" s="11"/>
      <c r="N250" s="11"/>
      <c r="O250" s="11"/>
      <c r="P250" s="11"/>
      <c r="Q250" s="11"/>
      <c r="R250" s="11">
        <v>115</v>
      </c>
      <c r="S250" s="11">
        <v>10</v>
      </c>
      <c r="T250" s="11"/>
      <c r="U250" s="11">
        <v>20</v>
      </c>
      <c r="V250" s="11"/>
      <c r="W250" s="11"/>
      <c r="X250" s="11"/>
      <c r="Y250" s="11"/>
      <c r="Z250" s="11"/>
      <c r="AA250" s="11"/>
      <c r="AB250" s="11">
        <v>5</v>
      </c>
      <c r="AC250" s="11"/>
      <c r="AD250" s="11"/>
      <c r="AE250" s="11"/>
      <c r="AF250" s="11">
        <v>150</v>
      </c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>
        <v>150</v>
      </c>
      <c r="AR250" s="11"/>
      <c r="AS250" s="11"/>
      <c r="AT250" s="11"/>
      <c r="AU250" s="11"/>
      <c r="AV250" s="20" t="str">
        <f>HYPERLINK("http://www.openstreetmap.org/?mlat=34.1969&amp;mlon=45.1253&amp;zoom=12#map=12/34.1969/45.1253","Maplink1")</f>
        <v>Maplink1</v>
      </c>
      <c r="AW250" s="20" t="str">
        <f>HYPERLINK("https://www.google.iq/maps/search/+34.1969,45.1253/@34.1969,45.1253,14z?hl=en","Maplink2")</f>
        <v>Maplink2</v>
      </c>
      <c r="AX250" s="20" t="str">
        <f>HYPERLINK("http://www.bing.com/maps/?lvl=14&amp;sty=h&amp;cp=34.1969~45.1253&amp;sp=point.34.1969_45.1253","Maplink3")</f>
        <v>Maplink3</v>
      </c>
    </row>
    <row r="251" spans="1:50" x14ac:dyDescent="0.25">
      <c r="A251" s="9">
        <v>29570</v>
      </c>
      <c r="B251" s="10" t="s">
        <v>13</v>
      </c>
      <c r="C251" s="10" t="s">
        <v>486</v>
      </c>
      <c r="D251" s="10" t="s">
        <v>980</v>
      </c>
      <c r="E251" s="10" t="s">
        <v>372</v>
      </c>
      <c r="F251" s="10">
        <v>34.280645999999997</v>
      </c>
      <c r="G251" s="10">
        <v>45.166086999999997</v>
      </c>
      <c r="H251" s="10" t="s">
        <v>265</v>
      </c>
      <c r="I251" s="10" t="s">
        <v>489</v>
      </c>
      <c r="J251" s="10"/>
      <c r="K251" s="11">
        <v>1450</v>
      </c>
      <c r="L251" s="11">
        <v>8700</v>
      </c>
      <c r="M251" s="11"/>
      <c r="N251" s="11"/>
      <c r="O251" s="11"/>
      <c r="P251" s="11"/>
      <c r="Q251" s="11"/>
      <c r="R251" s="11">
        <v>1320</v>
      </c>
      <c r="S251" s="11">
        <v>5</v>
      </c>
      <c r="T251" s="11"/>
      <c r="U251" s="11">
        <v>25</v>
      </c>
      <c r="V251" s="11"/>
      <c r="W251" s="11"/>
      <c r="X251" s="11"/>
      <c r="Y251" s="11"/>
      <c r="Z251" s="11"/>
      <c r="AA251" s="11"/>
      <c r="AB251" s="11">
        <v>100</v>
      </c>
      <c r="AC251" s="11"/>
      <c r="AD251" s="11"/>
      <c r="AE251" s="11"/>
      <c r="AF251" s="11">
        <v>1450</v>
      </c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>
        <v>950</v>
      </c>
      <c r="AR251" s="11">
        <v>500</v>
      </c>
      <c r="AS251" s="11"/>
      <c r="AT251" s="11"/>
      <c r="AU251" s="11"/>
      <c r="AV251" s="20" t="str">
        <f>HYPERLINK("http://www.openstreetmap.org/?mlat=34.2806&amp;mlon=45.1661&amp;zoom=12#map=12/34.2806/45.1661","Maplink1")</f>
        <v>Maplink1</v>
      </c>
      <c r="AW251" s="20" t="str">
        <f>HYPERLINK("https://www.google.iq/maps/search/+34.2806,45.1661/@34.2806,45.1661,14z?hl=en","Maplink2")</f>
        <v>Maplink2</v>
      </c>
      <c r="AX251" s="20" t="str">
        <f>HYPERLINK("http://www.bing.com/maps/?lvl=14&amp;sty=h&amp;cp=34.2806~45.1661&amp;sp=point.34.2806_45.1661","Maplink3")</f>
        <v>Maplink3</v>
      </c>
    </row>
    <row r="252" spans="1:50" x14ac:dyDescent="0.25">
      <c r="A252" s="9">
        <v>29519</v>
      </c>
      <c r="B252" s="10" t="s">
        <v>13</v>
      </c>
      <c r="C252" s="10" t="s">
        <v>486</v>
      </c>
      <c r="D252" s="10" t="s">
        <v>981</v>
      </c>
      <c r="E252" s="10" t="s">
        <v>492</v>
      </c>
      <c r="F252" s="10">
        <v>34.198936398000001</v>
      </c>
      <c r="G252" s="10">
        <v>45.130894382599998</v>
      </c>
      <c r="H252" s="10" t="s">
        <v>265</v>
      </c>
      <c r="I252" s="10" t="s">
        <v>489</v>
      </c>
      <c r="J252" s="10"/>
      <c r="K252" s="11">
        <v>60</v>
      </c>
      <c r="L252" s="11">
        <v>360</v>
      </c>
      <c r="M252" s="11"/>
      <c r="N252" s="11"/>
      <c r="O252" s="11"/>
      <c r="P252" s="11"/>
      <c r="Q252" s="11"/>
      <c r="R252" s="11">
        <v>60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>
        <v>60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>
        <v>60</v>
      </c>
      <c r="AR252" s="11"/>
      <c r="AS252" s="11"/>
      <c r="AT252" s="11"/>
      <c r="AU252" s="11"/>
      <c r="AV252" s="20" t="str">
        <f>HYPERLINK("http://www.openstreetmap.org/?mlat=34.1951&amp;mlon=45.1212&amp;zoom=12#map=12/34.1951/45.1212","Maplink1")</f>
        <v>Maplink1</v>
      </c>
      <c r="AW252" s="20" t="str">
        <f>HYPERLINK("https://www.google.iq/maps/search/+34.1951,45.1212/@34.1951,45.1212,14z?hl=en","Maplink2")</f>
        <v>Maplink2</v>
      </c>
      <c r="AX252" s="20" t="str">
        <f>HYPERLINK("http://www.bing.com/maps/?lvl=14&amp;sty=h&amp;cp=34.1951~45.1212&amp;sp=point.34.1951_45.1212","Maplink3")</f>
        <v>Maplink3</v>
      </c>
    </row>
    <row r="253" spans="1:50" x14ac:dyDescent="0.25">
      <c r="A253" s="9">
        <v>11435</v>
      </c>
      <c r="B253" s="10" t="s">
        <v>13</v>
      </c>
      <c r="C253" s="10" t="s">
        <v>486</v>
      </c>
      <c r="D253" s="10" t="s">
        <v>493</v>
      </c>
      <c r="E253" s="10" t="s">
        <v>494</v>
      </c>
      <c r="F253" s="10">
        <v>34.1752743857</v>
      </c>
      <c r="G253" s="10">
        <v>45.112580528599999</v>
      </c>
      <c r="H253" s="10" t="s">
        <v>265</v>
      </c>
      <c r="I253" s="10" t="s">
        <v>489</v>
      </c>
      <c r="J253" s="10"/>
      <c r="K253" s="11">
        <v>174</v>
      </c>
      <c r="L253" s="11">
        <v>1044</v>
      </c>
      <c r="M253" s="11"/>
      <c r="N253" s="11"/>
      <c r="O253" s="11"/>
      <c r="P253" s="11"/>
      <c r="Q253" s="11"/>
      <c r="R253" s="11">
        <v>140</v>
      </c>
      <c r="S253" s="11"/>
      <c r="T253" s="11"/>
      <c r="U253" s="11">
        <v>20</v>
      </c>
      <c r="V253" s="11"/>
      <c r="W253" s="11"/>
      <c r="X253" s="11"/>
      <c r="Y253" s="11"/>
      <c r="Z253" s="11"/>
      <c r="AA253" s="11"/>
      <c r="AB253" s="11">
        <v>14</v>
      </c>
      <c r="AC253" s="11"/>
      <c r="AD253" s="11"/>
      <c r="AE253" s="11"/>
      <c r="AF253" s="11">
        <v>30</v>
      </c>
      <c r="AG253" s="11">
        <v>100</v>
      </c>
      <c r="AH253" s="11"/>
      <c r="AI253" s="11"/>
      <c r="AJ253" s="11"/>
      <c r="AK253" s="11"/>
      <c r="AL253" s="11">
        <v>14</v>
      </c>
      <c r="AM253" s="11"/>
      <c r="AN253" s="11">
        <v>30</v>
      </c>
      <c r="AO253" s="11"/>
      <c r="AP253" s="11"/>
      <c r="AQ253" s="11"/>
      <c r="AR253" s="11"/>
      <c r="AS253" s="11">
        <v>174</v>
      </c>
      <c r="AT253" s="11"/>
      <c r="AU253" s="11"/>
      <c r="AV253" s="20" t="str">
        <f>HYPERLINK("http://www.openstreetmap.org/?mlat=34.1832&amp;mlon=45.1211&amp;zoom=12#map=12/34.1832/45.1211","Maplink1")</f>
        <v>Maplink1</v>
      </c>
      <c r="AW253" s="20" t="str">
        <f>HYPERLINK("https://www.google.iq/maps/search/+34.1832,45.1211/@34.1832,45.1211,14z?hl=en","Maplink2")</f>
        <v>Maplink2</v>
      </c>
      <c r="AX253" s="20" t="str">
        <f>HYPERLINK("http://www.bing.com/maps/?lvl=14&amp;sty=h&amp;cp=34.1832~45.1211&amp;sp=point.34.1832_45.1211_Al-Asree Qtr","Maplink3")</f>
        <v>Maplink3</v>
      </c>
    </row>
    <row r="254" spans="1:50" x14ac:dyDescent="0.25">
      <c r="A254" s="9">
        <v>25702</v>
      </c>
      <c r="B254" s="10" t="s">
        <v>13</v>
      </c>
      <c r="C254" s="10" t="s">
        <v>486</v>
      </c>
      <c r="D254" s="10" t="s">
        <v>495</v>
      </c>
      <c r="E254" s="10" t="s">
        <v>496</v>
      </c>
      <c r="F254" s="10">
        <v>34.273600000000002</v>
      </c>
      <c r="G254" s="10">
        <v>45.165900000000001</v>
      </c>
      <c r="H254" s="10" t="s">
        <v>265</v>
      </c>
      <c r="I254" s="10" t="s">
        <v>489</v>
      </c>
      <c r="J254" s="10"/>
      <c r="K254" s="11">
        <v>220</v>
      </c>
      <c r="L254" s="11">
        <v>1320</v>
      </c>
      <c r="M254" s="11"/>
      <c r="N254" s="11"/>
      <c r="O254" s="11"/>
      <c r="P254" s="11"/>
      <c r="Q254" s="11"/>
      <c r="R254" s="11">
        <v>120</v>
      </c>
      <c r="S254" s="11"/>
      <c r="T254" s="11"/>
      <c r="U254" s="11">
        <v>40</v>
      </c>
      <c r="V254" s="11"/>
      <c r="W254" s="11"/>
      <c r="X254" s="11"/>
      <c r="Y254" s="11"/>
      <c r="Z254" s="11"/>
      <c r="AA254" s="11"/>
      <c r="AB254" s="11">
        <v>60</v>
      </c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>
        <v>220</v>
      </c>
      <c r="AO254" s="11"/>
      <c r="AP254" s="11"/>
      <c r="AQ254" s="11"/>
      <c r="AR254" s="11"/>
      <c r="AS254" s="11">
        <v>220</v>
      </c>
      <c r="AT254" s="11"/>
      <c r="AU254" s="11"/>
      <c r="AV254" s="20" t="str">
        <f>HYPERLINK("http://www.openstreetmap.org/?mlat=34.2736&amp;mlon=45.1659&amp;zoom=12#map=12/34.2736/45.1659","Maplink1")</f>
        <v>Maplink1</v>
      </c>
      <c r="AW254" s="20" t="str">
        <f>HYPERLINK("https://www.google.iq/maps/search/+34.2736,45.1659/@34.2736,45.1659,14z?hl=en","Maplink2")</f>
        <v>Maplink2</v>
      </c>
      <c r="AX254" s="20" t="str">
        <f>HYPERLINK("http://www.bing.com/maps/?lvl=14&amp;sty=h&amp;cp=34.2736~45.1659&amp;sp=point.34.2736_45.1659_Al-husaini village","Maplink3")</f>
        <v>Maplink3</v>
      </c>
    </row>
    <row r="255" spans="1:50" x14ac:dyDescent="0.25">
      <c r="A255" s="9">
        <v>26124</v>
      </c>
      <c r="B255" s="10" t="s">
        <v>13</v>
      </c>
      <c r="C255" s="10" t="s">
        <v>486</v>
      </c>
      <c r="D255" s="10" t="s">
        <v>982</v>
      </c>
      <c r="E255" s="10" t="s">
        <v>503</v>
      </c>
      <c r="F255" s="10">
        <v>34.188362409500002</v>
      </c>
      <c r="G255" s="10">
        <v>45.118962864899999</v>
      </c>
      <c r="H255" s="10" t="s">
        <v>265</v>
      </c>
      <c r="I255" s="10" t="s">
        <v>489</v>
      </c>
      <c r="J255" s="10"/>
      <c r="K255" s="11">
        <v>278</v>
      </c>
      <c r="L255" s="11">
        <v>1668</v>
      </c>
      <c r="M255" s="11"/>
      <c r="N255" s="11"/>
      <c r="O255" s="11"/>
      <c r="P255" s="11"/>
      <c r="Q255" s="11"/>
      <c r="R255" s="11">
        <v>255</v>
      </c>
      <c r="S255" s="11">
        <v>5</v>
      </c>
      <c r="T255" s="11"/>
      <c r="U255" s="11">
        <v>11</v>
      </c>
      <c r="V255" s="11"/>
      <c r="W255" s="11"/>
      <c r="X255" s="11"/>
      <c r="Y255" s="11"/>
      <c r="Z255" s="11"/>
      <c r="AA255" s="11"/>
      <c r="AB255" s="11">
        <v>7</v>
      </c>
      <c r="AC255" s="11"/>
      <c r="AD255" s="11"/>
      <c r="AE255" s="11"/>
      <c r="AF255" s="11">
        <v>150</v>
      </c>
      <c r="AG255" s="11">
        <v>61</v>
      </c>
      <c r="AH255" s="11"/>
      <c r="AI255" s="11"/>
      <c r="AJ255" s="11"/>
      <c r="AK255" s="11"/>
      <c r="AL255" s="11"/>
      <c r="AM255" s="11"/>
      <c r="AN255" s="11">
        <v>67</v>
      </c>
      <c r="AO255" s="11"/>
      <c r="AP255" s="11"/>
      <c r="AQ255" s="11">
        <v>278</v>
      </c>
      <c r="AR255" s="11"/>
      <c r="AS255" s="11"/>
      <c r="AT255" s="11"/>
      <c r="AU255" s="11"/>
      <c r="AV255" s="20" t="str">
        <f>HYPERLINK("http://www.openstreetmap.org/?mlat=34.1838&amp;mlon=45.1191&amp;zoom=12#map=12/34.1838/45.1191","Maplink1")</f>
        <v>Maplink1</v>
      </c>
      <c r="AW255" s="20" t="str">
        <f>HYPERLINK("https://www.google.iq/maps/search/+34.1838,45.1191/@34.1838,45.1191,14z?hl=en","Maplink2")</f>
        <v>Maplink2</v>
      </c>
      <c r="AX255" s="20" t="str">
        <f>HYPERLINK("http://www.bing.com/maps/?lvl=14&amp;sty=h&amp;cp=34.1838~45.1191&amp;sp=point.34.1838_45.1191_Hay Al-Israa","Maplink3")</f>
        <v>Maplink3</v>
      </c>
    </row>
    <row r="256" spans="1:50" x14ac:dyDescent="0.25">
      <c r="A256" s="9">
        <v>29587</v>
      </c>
      <c r="B256" s="10" t="s">
        <v>13</v>
      </c>
      <c r="C256" s="10" t="s">
        <v>486</v>
      </c>
      <c r="D256" s="10" t="s">
        <v>1175</v>
      </c>
      <c r="E256" s="10" t="s">
        <v>502</v>
      </c>
      <c r="F256" s="10">
        <v>34.172876000000002</v>
      </c>
      <c r="G256" s="10">
        <v>45.135468000000003</v>
      </c>
      <c r="H256" s="10" t="s">
        <v>265</v>
      </c>
      <c r="I256" s="10" t="s">
        <v>489</v>
      </c>
      <c r="J256" s="10"/>
      <c r="K256" s="11">
        <v>50</v>
      </c>
      <c r="L256" s="11">
        <v>300</v>
      </c>
      <c r="M256" s="11"/>
      <c r="N256" s="11"/>
      <c r="O256" s="11"/>
      <c r="P256" s="11"/>
      <c r="Q256" s="11"/>
      <c r="R256" s="11">
        <v>35</v>
      </c>
      <c r="S256" s="11">
        <v>2</v>
      </c>
      <c r="T256" s="11"/>
      <c r="U256" s="11">
        <v>6</v>
      </c>
      <c r="V256" s="11"/>
      <c r="W256" s="11"/>
      <c r="X256" s="11"/>
      <c r="Y256" s="11"/>
      <c r="Z256" s="11"/>
      <c r="AA256" s="11"/>
      <c r="AB256" s="11">
        <v>7</v>
      </c>
      <c r="AC256" s="11"/>
      <c r="AD256" s="11"/>
      <c r="AE256" s="11"/>
      <c r="AF256" s="11">
        <v>50</v>
      </c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>
        <v>50</v>
      </c>
      <c r="AR256" s="11"/>
      <c r="AS256" s="11"/>
      <c r="AT256" s="11"/>
      <c r="AU256" s="11"/>
      <c r="AV256" s="20" t="str">
        <f>HYPERLINK("http://www.openstreetmap.org/?mlat=34.1729&amp;mlon=45.1355&amp;zoom=12#map=12/34.1729/45.1355","Maplink1")</f>
        <v>Maplink1</v>
      </c>
      <c r="AW256" s="20" t="str">
        <f>HYPERLINK("https://www.google.iq/maps/search/+34.1729,45.1355/@34.1729,45.1355,14z?hl=en","Maplink2")</f>
        <v>Maplink2</v>
      </c>
      <c r="AX256" s="20" t="str">
        <f>HYPERLINK("http://www.bing.com/maps/?lvl=14&amp;sty=h&amp;cp=34.1729~45.1355&amp;sp=point.34.1729_45.1355","Maplink3")</f>
        <v>Maplink3</v>
      </c>
    </row>
    <row r="257" spans="1:50" x14ac:dyDescent="0.25">
      <c r="A257" s="9">
        <v>29507</v>
      </c>
      <c r="B257" s="10" t="s">
        <v>13</v>
      </c>
      <c r="C257" s="10" t="s">
        <v>486</v>
      </c>
      <c r="D257" s="10" t="s">
        <v>983</v>
      </c>
      <c r="E257" s="10" t="s">
        <v>497</v>
      </c>
      <c r="F257" s="10">
        <v>34.350832323900001</v>
      </c>
      <c r="G257" s="10">
        <v>45.415382378799997</v>
      </c>
      <c r="H257" s="10" t="s">
        <v>265</v>
      </c>
      <c r="I257" s="10" t="s">
        <v>489</v>
      </c>
      <c r="J257" s="10"/>
      <c r="K257" s="11">
        <v>180</v>
      </c>
      <c r="L257" s="11">
        <v>1080</v>
      </c>
      <c r="M257" s="11"/>
      <c r="N257" s="11"/>
      <c r="O257" s="11"/>
      <c r="P257" s="11"/>
      <c r="Q257" s="11"/>
      <c r="R257" s="11">
        <v>145</v>
      </c>
      <c r="S257" s="11"/>
      <c r="T257" s="11"/>
      <c r="U257" s="11">
        <v>10</v>
      </c>
      <c r="V257" s="11"/>
      <c r="W257" s="11"/>
      <c r="X257" s="11"/>
      <c r="Y257" s="11"/>
      <c r="Z257" s="11"/>
      <c r="AA257" s="11"/>
      <c r="AB257" s="11">
        <v>25</v>
      </c>
      <c r="AC257" s="11"/>
      <c r="AD257" s="11"/>
      <c r="AE257" s="11"/>
      <c r="AF257" s="11">
        <v>180</v>
      </c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>
        <v>180</v>
      </c>
      <c r="AR257" s="11"/>
      <c r="AS257" s="11"/>
      <c r="AT257" s="11"/>
      <c r="AU257" s="11"/>
      <c r="AV257" s="20" t="str">
        <f>HYPERLINK("http://www.openstreetmap.org/?mlat=34.1854&amp;mlon=45.1302&amp;zoom=12#map=12/34.1854/45.1302","Maplink1")</f>
        <v>Maplink1</v>
      </c>
      <c r="AW257" s="20" t="str">
        <f>HYPERLINK("https://www.google.iq/maps/search/+34.1854,45.1302/@34.1854,45.1302,14z?hl=en","Maplink2")</f>
        <v>Maplink2</v>
      </c>
      <c r="AX257" s="20" t="str">
        <f>HYPERLINK("http://www.bing.com/maps/?lvl=14&amp;sty=h&amp;cp=34.1854~45.1302&amp;sp=point.34.1854_45.1302","Maplink3")</f>
        <v>Maplink3</v>
      </c>
    </row>
    <row r="258" spans="1:50" x14ac:dyDescent="0.25">
      <c r="A258" s="9">
        <v>29506</v>
      </c>
      <c r="B258" s="10" t="s">
        <v>13</v>
      </c>
      <c r="C258" s="10" t="s">
        <v>486</v>
      </c>
      <c r="D258" s="10" t="s">
        <v>984</v>
      </c>
      <c r="E258" s="10" t="s">
        <v>498</v>
      </c>
      <c r="F258" s="10">
        <v>34.350848158799998</v>
      </c>
      <c r="G258" s="10">
        <v>45.415377527399997</v>
      </c>
      <c r="H258" s="10" t="s">
        <v>265</v>
      </c>
      <c r="I258" s="10" t="s">
        <v>489</v>
      </c>
      <c r="J258" s="10"/>
      <c r="K258" s="11">
        <v>200</v>
      </c>
      <c r="L258" s="11">
        <v>1200</v>
      </c>
      <c r="M258" s="11"/>
      <c r="N258" s="11"/>
      <c r="O258" s="11"/>
      <c r="P258" s="11"/>
      <c r="Q258" s="11"/>
      <c r="R258" s="11">
        <v>190</v>
      </c>
      <c r="S258" s="11"/>
      <c r="T258" s="11"/>
      <c r="U258" s="11">
        <v>10</v>
      </c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>
        <v>200</v>
      </c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>
        <v>200</v>
      </c>
      <c r="AR258" s="11"/>
      <c r="AS258" s="11"/>
      <c r="AT258" s="11"/>
      <c r="AU258" s="11"/>
      <c r="AV258" s="20" t="str">
        <f>HYPERLINK("http://www.openstreetmap.org/?mlat=34.1891&amp;mlon=45.1223&amp;zoom=12#map=12/34.1891/45.1223","Maplink1")</f>
        <v>Maplink1</v>
      </c>
      <c r="AW258" s="20" t="str">
        <f>HYPERLINK("https://www.google.iq/maps/search/+34.1891,45.1223/@34.1891,45.1223,14z?hl=en","Maplink2")</f>
        <v>Maplink2</v>
      </c>
      <c r="AX258" s="20" t="str">
        <f>HYPERLINK("http://www.bing.com/maps/?lvl=14&amp;sty=h&amp;cp=34.1891~45.1223&amp;sp=point.34.1891_45.1223","Maplink3")</f>
        <v>Maplink3</v>
      </c>
    </row>
    <row r="259" spans="1:50" x14ac:dyDescent="0.25">
      <c r="A259" s="9">
        <v>25983</v>
      </c>
      <c r="B259" s="10" t="s">
        <v>13</v>
      </c>
      <c r="C259" s="10" t="s">
        <v>486</v>
      </c>
      <c r="D259" s="10" t="s">
        <v>985</v>
      </c>
      <c r="E259" s="10" t="s">
        <v>1176</v>
      </c>
      <c r="F259" s="10">
        <v>34.351071661100001</v>
      </c>
      <c r="G259" s="10">
        <v>45.415322805800002</v>
      </c>
      <c r="H259" s="10" t="s">
        <v>265</v>
      </c>
      <c r="I259" s="10" t="s">
        <v>489</v>
      </c>
      <c r="J259" s="10"/>
      <c r="K259" s="11">
        <v>208</v>
      </c>
      <c r="L259" s="11">
        <v>1248</v>
      </c>
      <c r="M259" s="11"/>
      <c r="N259" s="11"/>
      <c r="O259" s="11"/>
      <c r="P259" s="11"/>
      <c r="Q259" s="11"/>
      <c r="R259" s="11">
        <v>200</v>
      </c>
      <c r="S259" s="11"/>
      <c r="T259" s="11"/>
      <c r="U259" s="11">
        <v>8</v>
      </c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>
        <v>208</v>
      </c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>
        <v>208</v>
      </c>
      <c r="AR259" s="11"/>
      <c r="AS259" s="11"/>
      <c r="AT259" s="11"/>
      <c r="AU259" s="11"/>
      <c r="AV259" s="20" t="str">
        <f>HYPERLINK("http://www.openstreetmap.org/?mlat=34.1916&amp;mlon=45.1271&amp;zoom=12#map=12/34.1916/45.1271","Maplink1")</f>
        <v>Maplink1</v>
      </c>
      <c r="AW259" s="20" t="str">
        <f>HYPERLINK("https://www.google.iq/maps/search/+34.1916,45.1271/@34.1916,45.1271,14z?hl=en","Maplink2")</f>
        <v>Maplink2</v>
      </c>
      <c r="AX259" s="20" t="str">
        <f>HYPERLINK("http://www.bing.com/maps/?lvl=14&amp;sty=h&amp;cp=34.1916~45.1271&amp;sp=point.34.1916_45.1271_Hay Al-Rabii","Maplink3")</f>
        <v>Maplink3</v>
      </c>
    </row>
    <row r="260" spans="1:50" x14ac:dyDescent="0.25">
      <c r="A260" s="9">
        <v>27391</v>
      </c>
      <c r="B260" s="10" t="s">
        <v>13</v>
      </c>
      <c r="C260" s="10" t="s">
        <v>486</v>
      </c>
      <c r="D260" s="10" t="s">
        <v>986</v>
      </c>
      <c r="E260" s="10" t="s">
        <v>1177</v>
      </c>
      <c r="F260" s="10">
        <v>34.182388585200002</v>
      </c>
      <c r="G260" s="10">
        <v>45.118945997200001</v>
      </c>
      <c r="H260" s="10" t="s">
        <v>265</v>
      </c>
      <c r="I260" s="10" t="s">
        <v>489</v>
      </c>
      <c r="J260" s="10"/>
      <c r="K260" s="11">
        <v>358</v>
      </c>
      <c r="L260" s="11">
        <v>2148</v>
      </c>
      <c r="M260" s="11"/>
      <c r="N260" s="11"/>
      <c r="O260" s="11"/>
      <c r="P260" s="11"/>
      <c r="Q260" s="11"/>
      <c r="R260" s="11">
        <v>291</v>
      </c>
      <c r="S260" s="11"/>
      <c r="T260" s="11"/>
      <c r="U260" s="11">
        <v>7</v>
      </c>
      <c r="V260" s="11"/>
      <c r="W260" s="11"/>
      <c r="X260" s="11"/>
      <c r="Y260" s="11"/>
      <c r="Z260" s="11"/>
      <c r="AA260" s="11"/>
      <c r="AB260" s="11">
        <v>60</v>
      </c>
      <c r="AC260" s="11"/>
      <c r="AD260" s="11"/>
      <c r="AE260" s="11"/>
      <c r="AF260" s="11">
        <v>352</v>
      </c>
      <c r="AG260" s="11"/>
      <c r="AH260" s="11"/>
      <c r="AI260" s="11"/>
      <c r="AJ260" s="11"/>
      <c r="AK260" s="11"/>
      <c r="AL260" s="11">
        <v>6</v>
      </c>
      <c r="AM260" s="11"/>
      <c r="AN260" s="11"/>
      <c r="AO260" s="11"/>
      <c r="AP260" s="11"/>
      <c r="AQ260" s="11">
        <v>358</v>
      </c>
      <c r="AR260" s="11"/>
      <c r="AS260" s="11"/>
      <c r="AT260" s="11"/>
      <c r="AU260" s="11"/>
      <c r="AV260" s="20" t="str">
        <f>HYPERLINK("http://www.openstreetmap.org/?mlat=34.1824&amp;mlon=45.1184&amp;zoom=12#map=12/34.1824/45.1184","Maplink1")</f>
        <v>Maplink1</v>
      </c>
      <c r="AW260" s="20" t="str">
        <f>HYPERLINK("https://www.google.iq/maps/search/+34.1824,45.1184/@34.1824,45.1184,14z?hl=en","Maplink2")</f>
        <v>Maplink2</v>
      </c>
      <c r="AX260" s="20" t="str">
        <f>HYPERLINK("http://www.bing.com/maps/?lvl=14&amp;sty=h&amp;cp=34.1824~45.1184&amp;sp=point.34.1824_45.1184_Al-Shaheed Qtr","Maplink3")</f>
        <v>Maplink3</v>
      </c>
    </row>
    <row r="261" spans="1:50" x14ac:dyDescent="0.25">
      <c r="A261" s="9">
        <v>29564</v>
      </c>
      <c r="B261" s="10" t="s">
        <v>13</v>
      </c>
      <c r="C261" s="10" t="s">
        <v>486</v>
      </c>
      <c r="D261" s="10" t="s">
        <v>987</v>
      </c>
      <c r="E261" s="10" t="s">
        <v>499</v>
      </c>
      <c r="F261" s="10">
        <v>34.277200000000001</v>
      </c>
      <c r="G261" s="10">
        <v>45.159599999999998</v>
      </c>
      <c r="H261" s="10" t="s">
        <v>265</v>
      </c>
      <c r="I261" s="10" t="s">
        <v>489</v>
      </c>
      <c r="J261" s="10"/>
      <c r="K261" s="11">
        <v>301</v>
      </c>
      <c r="L261" s="11">
        <v>1806</v>
      </c>
      <c r="M261" s="11"/>
      <c r="N261" s="11"/>
      <c r="O261" s="11"/>
      <c r="P261" s="11"/>
      <c r="Q261" s="11"/>
      <c r="R261" s="11">
        <v>285</v>
      </c>
      <c r="S261" s="11"/>
      <c r="T261" s="11"/>
      <c r="U261" s="11">
        <v>15</v>
      </c>
      <c r="V261" s="11"/>
      <c r="W261" s="11"/>
      <c r="X261" s="11"/>
      <c r="Y261" s="11"/>
      <c r="Z261" s="11"/>
      <c r="AA261" s="11"/>
      <c r="AB261" s="11">
        <v>1</v>
      </c>
      <c r="AC261" s="11"/>
      <c r="AD261" s="11"/>
      <c r="AE261" s="11"/>
      <c r="AF261" s="11">
        <v>301</v>
      </c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>
        <v>301</v>
      </c>
      <c r="AR261" s="11"/>
      <c r="AS261" s="11"/>
      <c r="AT261" s="11"/>
      <c r="AU261" s="11"/>
      <c r="AV261" s="20" t="str">
        <f>HYPERLINK("http://www.openstreetmap.org/?mlat=34.2772&amp;mlon=45.1596&amp;zoom=12#map=12/34.2772/45.1596","Maplink1")</f>
        <v>Maplink1</v>
      </c>
      <c r="AW261" s="20" t="str">
        <f>HYPERLINK("https://www.google.iq/maps/search/+34.2772,45.1596/@34.2772,45.1596,14z?hl=en","Maplink2")</f>
        <v>Maplink2</v>
      </c>
      <c r="AX261" s="20" t="str">
        <f>HYPERLINK("http://www.bing.com/maps/?lvl=14&amp;sty=h&amp;cp=34.2772~45.1596&amp;sp=point.34.2772_45.1596","Maplink3")</f>
        <v>Maplink3</v>
      </c>
    </row>
    <row r="262" spans="1:50" x14ac:dyDescent="0.25">
      <c r="A262" s="9">
        <v>27389</v>
      </c>
      <c r="B262" s="10" t="s">
        <v>13</v>
      </c>
      <c r="C262" s="10" t="s">
        <v>486</v>
      </c>
      <c r="D262" s="10" t="s">
        <v>988</v>
      </c>
      <c r="E262" s="10" t="s">
        <v>500</v>
      </c>
      <c r="F262" s="10">
        <v>34.2727</v>
      </c>
      <c r="G262" s="10">
        <v>45.161099999999998</v>
      </c>
      <c r="H262" s="10" t="s">
        <v>265</v>
      </c>
      <c r="I262" s="10" t="s">
        <v>489</v>
      </c>
      <c r="J262" s="10"/>
      <c r="K262" s="11">
        <v>1800</v>
      </c>
      <c r="L262" s="11">
        <v>10800</v>
      </c>
      <c r="M262" s="11"/>
      <c r="N262" s="11"/>
      <c r="O262" s="11"/>
      <c r="P262" s="11"/>
      <c r="Q262" s="11"/>
      <c r="R262" s="11">
        <v>1650</v>
      </c>
      <c r="S262" s="11"/>
      <c r="T262" s="11"/>
      <c r="U262" s="11">
        <v>50</v>
      </c>
      <c r="V262" s="11"/>
      <c r="W262" s="11"/>
      <c r="X262" s="11"/>
      <c r="Y262" s="11"/>
      <c r="Z262" s="11"/>
      <c r="AA262" s="11"/>
      <c r="AB262" s="11">
        <v>100</v>
      </c>
      <c r="AC262" s="11"/>
      <c r="AD262" s="11"/>
      <c r="AE262" s="11"/>
      <c r="AF262" s="11">
        <v>1537</v>
      </c>
      <c r="AG262" s="11">
        <v>30</v>
      </c>
      <c r="AH262" s="11"/>
      <c r="AI262" s="11"/>
      <c r="AJ262" s="11"/>
      <c r="AK262" s="11"/>
      <c r="AL262" s="11"/>
      <c r="AM262" s="11"/>
      <c r="AN262" s="11">
        <v>233</v>
      </c>
      <c r="AO262" s="11"/>
      <c r="AP262" s="11"/>
      <c r="AQ262" s="11">
        <v>1800</v>
      </c>
      <c r="AR262" s="11"/>
      <c r="AS262" s="11"/>
      <c r="AT262" s="11"/>
      <c r="AU262" s="11"/>
      <c r="AV262" s="20" t="str">
        <f>HYPERLINK("http://www.openstreetmap.org/?mlat=34.2727&amp;mlon=45.1611&amp;zoom=12#map=12/34.2727/45.1611","Maplink1")</f>
        <v>Maplink1</v>
      </c>
      <c r="AW262" s="20" t="str">
        <f>HYPERLINK("https://www.google.iq/maps/search/+34.2727,45.1611/@34.2727,45.1611,14z?hl=en","Maplink2")</f>
        <v>Maplink2</v>
      </c>
      <c r="AX262" s="20" t="str">
        <f>HYPERLINK("http://www.bing.com/maps/?lvl=14&amp;sty=h&amp;cp=34.2727~45.1611&amp;sp=point.34.2727_45.1611_Al-Taleaa' Qtr","Maplink3")</f>
        <v>Maplink3</v>
      </c>
    </row>
    <row r="263" spans="1:50" x14ac:dyDescent="0.25">
      <c r="A263" s="9">
        <v>29477</v>
      </c>
      <c r="B263" s="10" t="s">
        <v>13</v>
      </c>
      <c r="C263" s="10" t="s">
        <v>486</v>
      </c>
      <c r="D263" s="10" t="s">
        <v>501</v>
      </c>
      <c r="E263" s="10" t="s">
        <v>454</v>
      </c>
      <c r="F263" s="10">
        <v>34.271009999999997</v>
      </c>
      <c r="G263" s="10">
        <v>45.164299999999997</v>
      </c>
      <c r="H263" s="10" t="s">
        <v>265</v>
      </c>
      <c r="I263" s="10" t="s">
        <v>489</v>
      </c>
      <c r="J263" s="10"/>
      <c r="K263" s="11">
        <v>1500</v>
      </c>
      <c r="L263" s="11">
        <v>9000</v>
      </c>
      <c r="M263" s="11"/>
      <c r="N263" s="11"/>
      <c r="O263" s="11"/>
      <c r="P263" s="11"/>
      <c r="Q263" s="11"/>
      <c r="R263" s="11">
        <v>1480</v>
      </c>
      <c r="S263" s="11"/>
      <c r="T263" s="11">
        <v>10</v>
      </c>
      <c r="U263" s="11"/>
      <c r="V263" s="11"/>
      <c r="W263" s="11"/>
      <c r="X263" s="11"/>
      <c r="Y263" s="11"/>
      <c r="Z263" s="11"/>
      <c r="AA263" s="11"/>
      <c r="AB263" s="11">
        <v>10</v>
      </c>
      <c r="AC263" s="11"/>
      <c r="AD263" s="11"/>
      <c r="AE263" s="11"/>
      <c r="AF263" s="11">
        <v>1500</v>
      </c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>
        <v>1400</v>
      </c>
      <c r="AR263" s="11">
        <v>100</v>
      </c>
      <c r="AS263" s="11"/>
      <c r="AT263" s="11"/>
      <c r="AU263" s="11"/>
      <c r="AV263" s="20" t="str">
        <f>HYPERLINK("http://www.openstreetmap.org/?mlat=34.271&amp;mlon=45.1643&amp;zoom=12#map=12/34.271/45.1643","Maplink1")</f>
        <v>Maplink1</v>
      </c>
      <c r="AW263" s="20" t="str">
        <f>HYPERLINK("https://www.google.iq/maps/search/+34.271,45.1643/@34.271,45.1643,14z?hl=en","Maplink2")</f>
        <v>Maplink2</v>
      </c>
      <c r="AX263" s="20" t="str">
        <f>HYPERLINK("http://www.bing.com/maps/?lvl=14&amp;sty=h&amp;cp=34.271~45.1643&amp;sp=point.34.271_45.1643_Al Angaa","Maplink3")</f>
        <v>Maplink3</v>
      </c>
    </row>
    <row r="264" spans="1:50" x14ac:dyDescent="0.25">
      <c r="A264" s="9">
        <v>28460</v>
      </c>
      <c r="B264" s="10" t="s">
        <v>13</v>
      </c>
      <c r="C264" s="10" t="s">
        <v>486</v>
      </c>
      <c r="D264" s="10" t="s">
        <v>989</v>
      </c>
      <c r="E264" s="10" t="s">
        <v>502</v>
      </c>
      <c r="F264" s="10">
        <v>34.261099999999999</v>
      </c>
      <c r="G264" s="10">
        <v>45.1736</v>
      </c>
      <c r="H264" s="10" t="s">
        <v>265</v>
      </c>
      <c r="I264" s="10" t="s">
        <v>489</v>
      </c>
      <c r="J264" s="10"/>
      <c r="K264" s="11">
        <v>1412</v>
      </c>
      <c r="L264" s="11">
        <v>8472</v>
      </c>
      <c r="M264" s="11"/>
      <c r="N264" s="11"/>
      <c r="O264" s="11"/>
      <c r="P264" s="11"/>
      <c r="Q264" s="11"/>
      <c r="R264" s="11">
        <v>1344</v>
      </c>
      <c r="S264" s="11">
        <v>7</v>
      </c>
      <c r="T264" s="11"/>
      <c r="U264" s="11">
        <v>36</v>
      </c>
      <c r="V264" s="11"/>
      <c r="W264" s="11"/>
      <c r="X264" s="11"/>
      <c r="Y264" s="11"/>
      <c r="Z264" s="11"/>
      <c r="AA264" s="11"/>
      <c r="AB264" s="11">
        <v>25</v>
      </c>
      <c r="AC264" s="11"/>
      <c r="AD264" s="11"/>
      <c r="AE264" s="11"/>
      <c r="AF264" s="11">
        <v>1312</v>
      </c>
      <c r="AG264" s="11">
        <v>25</v>
      </c>
      <c r="AH264" s="11"/>
      <c r="AI264" s="11"/>
      <c r="AJ264" s="11"/>
      <c r="AK264" s="11"/>
      <c r="AL264" s="11">
        <v>25</v>
      </c>
      <c r="AM264" s="11"/>
      <c r="AN264" s="11">
        <v>50</v>
      </c>
      <c r="AO264" s="11"/>
      <c r="AP264" s="11"/>
      <c r="AQ264" s="11">
        <v>1349</v>
      </c>
      <c r="AR264" s="11">
        <v>63</v>
      </c>
      <c r="AS264" s="11"/>
      <c r="AT264" s="11"/>
      <c r="AU264" s="11"/>
      <c r="AV264" s="20" t="str">
        <f>HYPERLINK("http://www.openstreetmap.org/?mlat=34.2611&amp;mlon=45.1736&amp;zoom=12#map=12/34.2611/45.1736","Maplink1")</f>
        <v>Maplink1</v>
      </c>
      <c r="AW264" s="20" t="str">
        <f>HYPERLINK("https://www.google.iq/maps/search/+34.2611,45.1736/@34.2611,45.1736,14z?hl=en","Maplink2")</f>
        <v>Maplink2</v>
      </c>
      <c r="AX264" s="20" t="str">
        <f>HYPERLINK("http://www.bing.com/maps/?lvl=14&amp;sty=h&amp;cp=34.2611~45.1736&amp;sp=point.34.2611_45.1736_Al Angaa","Maplink3")</f>
        <v>Maplink3</v>
      </c>
    </row>
    <row r="265" spans="1:50" x14ac:dyDescent="0.25">
      <c r="A265" s="9">
        <v>29520</v>
      </c>
      <c r="B265" s="10" t="s">
        <v>13</v>
      </c>
      <c r="C265" s="10" t="s">
        <v>486</v>
      </c>
      <c r="D265" s="10" t="s">
        <v>990</v>
      </c>
      <c r="E265" s="10" t="s">
        <v>504</v>
      </c>
      <c r="F265" s="10">
        <v>34.189599369</v>
      </c>
      <c r="G265" s="10">
        <v>45.116669375000001</v>
      </c>
      <c r="H265" s="10" t="s">
        <v>265</v>
      </c>
      <c r="I265" s="10" t="s">
        <v>489</v>
      </c>
      <c r="J265" s="10"/>
      <c r="K265" s="11">
        <v>70</v>
      </c>
      <c r="L265" s="11">
        <v>420</v>
      </c>
      <c r="M265" s="11"/>
      <c r="N265" s="11"/>
      <c r="O265" s="11"/>
      <c r="P265" s="11"/>
      <c r="Q265" s="11"/>
      <c r="R265" s="11">
        <v>65</v>
      </c>
      <c r="S265" s="11"/>
      <c r="T265" s="11"/>
      <c r="U265" s="11">
        <v>5</v>
      </c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>
        <v>70</v>
      </c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>
        <v>70</v>
      </c>
      <c r="AR265" s="11"/>
      <c r="AS265" s="11"/>
      <c r="AT265" s="11"/>
      <c r="AU265" s="11"/>
      <c r="AV265" s="20" t="str">
        <f>HYPERLINK("http://www.openstreetmap.org/?mlat=34.1922&amp;mlon=45.1234&amp;zoom=12#map=12/34.1922/45.1234","Maplink1")</f>
        <v>Maplink1</v>
      </c>
      <c r="AW265" s="20" t="str">
        <f>HYPERLINK("https://www.google.iq/maps/search/+34.1922,45.1234/@34.1922,45.1234,14z?hl=en","Maplink2")</f>
        <v>Maplink2</v>
      </c>
      <c r="AX265" s="20" t="str">
        <f>HYPERLINK("http://www.bing.com/maps/?lvl=14&amp;sty=h&amp;cp=34.1922~45.1234&amp;sp=point.34.1922_45.1234","Maplink3")</f>
        <v>Maplink3</v>
      </c>
    </row>
    <row r="266" spans="1:50" x14ac:dyDescent="0.25">
      <c r="A266" s="9">
        <v>10747</v>
      </c>
      <c r="B266" s="10" t="s">
        <v>13</v>
      </c>
      <c r="C266" s="10" t="s">
        <v>486</v>
      </c>
      <c r="D266" s="10" t="s">
        <v>505</v>
      </c>
      <c r="E266" s="10" t="s">
        <v>506</v>
      </c>
      <c r="F266" s="10">
        <v>34.284100000000002</v>
      </c>
      <c r="G266" s="10">
        <v>45.171700000000001</v>
      </c>
      <c r="H266" s="10" t="s">
        <v>265</v>
      </c>
      <c r="I266" s="10" t="s">
        <v>489</v>
      </c>
      <c r="J266" s="10" t="s">
        <v>507</v>
      </c>
      <c r="K266" s="11">
        <v>45</v>
      </c>
      <c r="L266" s="11">
        <v>270</v>
      </c>
      <c r="M266" s="11"/>
      <c r="N266" s="11"/>
      <c r="O266" s="11"/>
      <c r="P266" s="11"/>
      <c r="Q266" s="11"/>
      <c r="R266" s="11">
        <v>45</v>
      </c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>
        <v>40</v>
      </c>
      <c r="AG266" s="11">
        <v>5</v>
      </c>
      <c r="AH266" s="11"/>
      <c r="AI266" s="11"/>
      <c r="AJ266" s="11"/>
      <c r="AK266" s="11"/>
      <c r="AL266" s="11"/>
      <c r="AM266" s="11"/>
      <c r="AN266" s="11"/>
      <c r="AO266" s="11"/>
      <c r="AP266" s="11"/>
      <c r="AQ266" s="11">
        <v>45</v>
      </c>
      <c r="AR266" s="11"/>
      <c r="AS266" s="11"/>
      <c r="AT266" s="11"/>
      <c r="AU266" s="11"/>
      <c r="AV266" s="20" t="str">
        <f>HYPERLINK("http://www.openstreetmap.org/?mlat=34.2841&amp;mlon=45.1717&amp;zoom=12#map=12/34.2841/45.1717","Maplink1")</f>
        <v>Maplink1</v>
      </c>
      <c r="AW266" s="20" t="str">
        <f>HYPERLINK("https://www.google.iq/maps/search/+34.2841,45.1717/@34.2841,45.1717,14z?hl=en","Maplink2")</f>
        <v>Maplink2</v>
      </c>
      <c r="AX266" s="20" t="str">
        <f>HYPERLINK("http://www.bing.com/maps/?lvl=14&amp;sty=h&amp;cp=34.2841~45.1717&amp;sp=point.34.2841_45.1717_Said Ahmed Village","Maplink3")</f>
        <v>Maplink3</v>
      </c>
    </row>
    <row r="267" spans="1:50" x14ac:dyDescent="0.25">
      <c r="A267" s="9">
        <v>27390</v>
      </c>
      <c r="B267" s="10" t="s">
        <v>13</v>
      </c>
      <c r="C267" s="10" t="s">
        <v>486</v>
      </c>
      <c r="D267" s="10" t="s">
        <v>508</v>
      </c>
      <c r="E267" s="10" t="s">
        <v>509</v>
      </c>
      <c r="F267" s="10">
        <v>34.282499999999999</v>
      </c>
      <c r="G267" s="10">
        <v>45.168399999999998</v>
      </c>
      <c r="H267" s="10" t="s">
        <v>265</v>
      </c>
      <c r="I267" s="10" t="s">
        <v>489</v>
      </c>
      <c r="J267" s="10"/>
      <c r="K267" s="11">
        <v>40</v>
      </c>
      <c r="L267" s="11">
        <v>240</v>
      </c>
      <c r="M267" s="11"/>
      <c r="N267" s="11"/>
      <c r="O267" s="11"/>
      <c r="P267" s="11"/>
      <c r="Q267" s="11"/>
      <c r="R267" s="11">
        <v>40</v>
      </c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>
        <v>40</v>
      </c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>
        <v>40</v>
      </c>
      <c r="AR267" s="11"/>
      <c r="AS267" s="11"/>
      <c r="AT267" s="11"/>
      <c r="AU267" s="11"/>
      <c r="AV267" s="20" t="str">
        <f>HYPERLINK("http://www.openstreetmap.org/?mlat=34.2825&amp;mlon=45.1684&amp;zoom=12#map=12/34.2825/45.1684","Maplink1")</f>
        <v>Maplink1</v>
      </c>
      <c r="AW267" s="20" t="str">
        <f>HYPERLINK("https://www.google.iq/maps/search/+34.2825,45.1684/@34.2825,45.1684,14z?hl=en","Maplink2")</f>
        <v>Maplink2</v>
      </c>
      <c r="AX267" s="20" t="str">
        <f>HYPERLINK("http://www.bing.com/maps/?lvl=14&amp;sty=h&amp;cp=34.2825~45.1684&amp;sp=point.34.2825_45.1684_Said Jabar Village","Maplink3")</f>
        <v>Maplink3</v>
      </c>
    </row>
    <row r="268" spans="1:50" x14ac:dyDescent="0.25">
      <c r="A268" s="9">
        <v>25703</v>
      </c>
      <c r="B268" s="10" t="s">
        <v>13</v>
      </c>
      <c r="C268" s="10" t="s">
        <v>510</v>
      </c>
      <c r="D268" s="10" t="s">
        <v>511</v>
      </c>
      <c r="E268" s="10" t="s">
        <v>512</v>
      </c>
      <c r="F268" s="10">
        <v>34.412399999999998</v>
      </c>
      <c r="G268" s="10">
        <v>44.932099999999998</v>
      </c>
      <c r="H268" s="10" t="s">
        <v>265</v>
      </c>
      <c r="I268" s="10" t="s">
        <v>513</v>
      </c>
      <c r="J268" s="10"/>
      <c r="K268" s="11">
        <v>200</v>
      </c>
      <c r="L268" s="11">
        <v>1200</v>
      </c>
      <c r="M268" s="11"/>
      <c r="N268" s="11"/>
      <c r="O268" s="11"/>
      <c r="P268" s="11"/>
      <c r="Q268" s="11"/>
      <c r="R268" s="11">
        <v>200</v>
      </c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>
        <v>200</v>
      </c>
      <c r="AO268" s="11"/>
      <c r="AP268" s="11"/>
      <c r="AQ268" s="11"/>
      <c r="AR268" s="11"/>
      <c r="AS268" s="11">
        <v>200</v>
      </c>
      <c r="AT268" s="11"/>
      <c r="AU268" s="11"/>
      <c r="AV268" s="20" t="str">
        <f>HYPERLINK("http://www.openstreetmap.org/?mlat=34.4124&amp;mlon=44.9321&amp;zoom=12#map=12/34.4124/44.9321","Maplink1")</f>
        <v>Maplink1</v>
      </c>
      <c r="AW268" s="20" t="str">
        <f>HYPERLINK("https://www.google.iq/maps/search/+34.4124,44.9321/@34.4124,44.9321,14z?hl=en","Maplink2")</f>
        <v>Maplink2</v>
      </c>
      <c r="AX268" s="20" t="str">
        <f>HYPERLINK("http://www.bing.com/maps/?lvl=14&amp;sty=h&amp;cp=34.4124~44.9321&amp;sp=point.34.4124_44.9321_Al-Nitham village","Maplink3")</f>
        <v>Maplink3</v>
      </c>
    </row>
    <row r="269" spans="1:50" x14ac:dyDescent="0.25">
      <c r="A269" s="9">
        <v>29522</v>
      </c>
      <c r="B269" s="10" t="s">
        <v>14</v>
      </c>
      <c r="C269" s="10" t="s">
        <v>514</v>
      </c>
      <c r="D269" s="10" t="s">
        <v>515</v>
      </c>
      <c r="E269" s="10" t="s">
        <v>516</v>
      </c>
      <c r="F269" s="10">
        <v>35.779000000000003</v>
      </c>
      <c r="G269" s="10">
        <v>43.588099999999997</v>
      </c>
      <c r="H269" s="10" t="s">
        <v>517</v>
      </c>
      <c r="I269" s="10" t="s">
        <v>518</v>
      </c>
      <c r="J269" s="10"/>
      <c r="K269" s="11">
        <v>60</v>
      </c>
      <c r="L269" s="11">
        <v>360</v>
      </c>
      <c r="M269" s="11"/>
      <c r="N269" s="11"/>
      <c r="O269" s="11"/>
      <c r="P269" s="11"/>
      <c r="Q269" s="11"/>
      <c r="R269" s="11"/>
      <c r="S269" s="11">
        <v>60</v>
      </c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>
        <v>60</v>
      </c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>
        <v>60</v>
      </c>
      <c r="AS269" s="11"/>
      <c r="AT269" s="11"/>
      <c r="AU269" s="11"/>
      <c r="AV269" s="20" t="str">
        <f>HYPERLINK("http://www.openstreetmap.org/?mlat=35.779&amp;mlon=43.5881&amp;zoom=12#map=12/35.779/43.5881","Maplink1")</f>
        <v>Maplink1</v>
      </c>
      <c r="AW269" s="20" t="str">
        <f>HYPERLINK("https://www.google.iq/maps/search/+35.779,43.5881/@35.779,43.5881,14z?hl=en","Maplink2")</f>
        <v>Maplink2</v>
      </c>
      <c r="AX269" s="20" t="str">
        <f>HYPERLINK("http://www.bing.com/maps/?lvl=14&amp;sty=h&amp;cp=35.779~43.5881&amp;sp=point.35.779_43.5881","Maplink3")</f>
        <v>Maplink3</v>
      </c>
    </row>
    <row r="270" spans="1:50" x14ac:dyDescent="0.25">
      <c r="A270" s="9">
        <v>13500</v>
      </c>
      <c r="B270" s="10" t="s">
        <v>14</v>
      </c>
      <c r="C270" s="10" t="s">
        <v>514</v>
      </c>
      <c r="D270" s="10" t="s">
        <v>519</v>
      </c>
      <c r="E270" s="10" t="s">
        <v>520</v>
      </c>
      <c r="F270" s="10">
        <v>35.782600000000002</v>
      </c>
      <c r="G270" s="10">
        <v>43.582799999999999</v>
      </c>
      <c r="H270" s="10" t="s">
        <v>517</v>
      </c>
      <c r="I270" s="10" t="s">
        <v>518</v>
      </c>
      <c r="J270" s="10" t="s">
        <v>521</v>
      </c>
      <c r="K270" s="11">
        <v>250</v>
      </c>
      <c r="L270" s="11">
        <v>1500</v>
      </c>
      <c r="M270" s="11"/>
      <c r="N270" s="11"/>
      <c r="O270" s="11"/>
      <c r="P270" s="11"/>
      <c r="Q270" s="11"/>
      <c r="R270" s="11"/>
      <c r="S270" s="11">
        <v>250</v>
      </c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>
        <v>250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>
        <v>250</v>
      </c>
      <c r="AS270" s="11"/>
      <c r="AT270" s="11"/>
      <c r="AU270" s="11"/>
      <c r="AV270" s="20" t="str">
        <f>HYPERLINK("http://www.openstreetmap.org/?mlat=35.7826&amp;mlon=43.5828&amp;zoom=12#map=12/35.7826/43.5828","Maplink1")</f>
        <v>Maplink1</v>
      </c>
      <c r="AW270" s="20" t="str">
        <f>HYPERLINK("https://www.google.iq/maps/search/+35.7826,43.5828/@35.7826,43.5828,14z?hl=en","Maplink2")</f>
        <v>Maplink2</v>
      </c>
      <c r="AX270" s="20" t="str">
        <f>HYPERLINK("http://www.bing.com/maps/?lvl=14&amp;sty=h&amp;cp=35.7826~43.5828&amp;sp=point.35.7826_43.5828_Bndiyan","Maplink3")</f>
        <v>Maplink3</v>
      </c>
    </row>
    <row r="271" spans="1:50" x14ac:dyDescent="0.25">
      <c r="A271" s="9">
        <v>13502</v>
      </c>
      <c r="B271" s="10" t="s">
        <v>14</v>
      </c>
      <c r="C271" s="10" t="s">
        <v>514</v>
      </c>
      <c r="D271" s="10" t="s">
        <v>522</v>
      </c>
      <c r="E271" s="10" t="s">
        <v>523</v>
      </c>
      <c r="F271" s="10">
        <v>35.7759</v>
      </c>
      <c r="G271" s="10">
        <v>43.572600000000001</v>
      </c>
      <c r="H271" s="10" t="s">
        <v>517</v>
      </c>
      <c r="I271" s="10" t="s">
        <v>518</v>
      </c>
      <c r="J271" s="10" t="s">
        <v>524</v>
      </c>
      <c r="K271" s="11">
        <v>236</v>
      </c>
      <c r="L271" s="11">
        <v>1416</v>
      </c>
      <c r="M271" s="11"/>
      <c r="N271" s="11"/>
      <c r="O271" s="11"/>
      <c r="P271" s="11"/>
      <c r="Q271" s="11"/>
      <c r="R271" s="11"/>
      <c r="S271" s="11">
        <v>236</v>
      </c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>
        <v>236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>
        <v>236</v>
      </c>
      <c r="AS271" s="11"/>
      <c r="AT271" s="11"/>
      <c r="AU271" s="11"/>
      <c r="AV271" s="20" t="str">
        <f>HYPERLINK("http://www.openstreetmap.org/?mlat=35.7759&amp;mlon=43.5726&amp;zoom=12#map=12/35.7759/43.5726","Maplink1")</f>
        <v>Maplink1</v>
      </c>
      <c r="AW271" s="20" t="str">
        <f>HYPERLINK("https://www.google.iq/maps/search/+35.7759,43.5726/@35.7759,43.5726,14z?hl=en","Maplink2")</f>
        <v>Maplink2</v>
      </c>
      <c r="AX271" s="20" t="str">
        <f>HYPERLINK("http://www.bing.com/maps/?lvl=14&amp;sty=h&amp;cp=35.7759~43.5726&amp;sp=point.35.7759_43.5726_Farmanbaran","Maplink3")</f>
        <v>Maplink3</v>
      </c>
    </row>
    <row r="272" spans="1:50" x14ac:dyDescent="0.25">
      <c r="A272" s="9">
        <v>13501</v>
      </c>
      <c r="B272" s="10" t="s">
        <v>14</v>
      </c>
      <c r="C272" s="10" t="s">
        <v>514</v>
      </c>
      <c r="D272" s="10" t="s">
        <v>525</v>
      </c>
      <c r="E272" s="10" t="s">
        <v>526</v>
      </c>
      <c r="F272" s="10">
        <v>35.767000000000003</v>
      </c>
      <c r="G272" s="10">
        <v>43.573700000000002</v>
      </c>
      <c r="H272" s="10" t="s">
        <v>517</v>
      </c>
      <c r="I272" s="10" t="s">
        <v>518</v>
      </c>
      <c r="J272" s="10" t="s">
        <v>527</v>
      </c>
      <c r="K272" s="11">
        <v>278</v>
      </c>
      <c r="L272" s="11">
        <v>1668</v>
      </c>
      <c r="M272" s="11"/>
      <c r="N272" s="11"/>
      <c r="O272" s="11"/>
      <c r="P272" s="11"/>
      <c r="Q272" s="11"/>
      <c r="R272" s="11"/>
      <c r="S272" s="11">
        <v>278</v>
      </c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>
        <v>278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>
        <v>278</v>
      </c>
      <c r="AS272" s="11"/>
      <c r="AT272" s="11"/>
      <c r="AU272" s="11"/>
      <c r="AV272" s="20" t="str">
        <f>HYPERLINK("http://www.openstreetmap.org/?mlat=35.7736&amp;mlon=43.5808&amp;zoom=12#map=12/35.7736/43.5808","Maplink1")</f>
        <v>Maplink1</v>
      </c>
      <c r="AW272" s="20" t="str">
        <f>HYPERLINK("https://www.google.iq/maps/search/+35.7736,43.5808/@35.7736,43.5808,14z?hl=en","Maplink2")</f>
        <v>Maplink2</v>
      </c>
      <c r="AX272" s="20" t="str">
        <f>HYPERLINK("http://www.bing.com/maps/?lvl=14&amp;sty=h&amp;cp=35.7736~43.5808&amp;sp=point.35.7736_43.5808_Kurdistan ","Maplink3")</f>
        <v>Maplink3</v>
      </c>
    </row>
    <row r="273" spans="1:50" x14ac:dyDescent="0.25">
      <c r="A273" s="9">
        <v>22976</v>
      </c>
      <c r="B273" s="10" t="s">
        <v>14</v>
      </c>
      <c r="C273" s="10" t="s">
        <v>514</v>
      </c>
      <c r="D273" s="10" t="s">
        <v>528</v>
      </c>
      <c r="E273" s="10" t="s">
        <v>529</v>
      </c>
      <c r="F273" s="10">
        <v>35.773000000000003</v>
      </c>
      <c r="G273" s="10">
        <v>43.574599999999997</v>
      </c>
      <c r="H273" s="10" t="s">
        <v>517</v>
      </c>
      <c r="I273" s="10" t="s">
        <v>518</v>
      </c>
      <c r="J273" s="10" t="s">
        <v>530</v>
      </c>
      <c r="K273" s="11">
        <v>371</v>
      </c>
      <c r="L273" s="11">
        <v>2226</v>
      </c>
      <c r="M273" s="11"/>
      <c r="N273" s="11"/>
      <c r="O273" s="11"/>
      <c r="P273" s="11"/>
      <c r="Q273" s="11"/>
      <c r="R273" s="11"/>
      <c r="S273" s="11">
        <v>371</v>
      </c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>
        <v>371</v>
      </c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>
        <v>371</v>
      </c>
      <c r="AS273" s="11"/>
      <c r="AT273" s="11"/>
      <c r="AU273" s="11"/>
      <c r="AV273" s="20" t="str">
        <f>HYPERLINK("http://www.openstreetmap.org/?mlat=35.773&amp;mlon=43.5746&amp;zoom=12#map=12/35.773/43.5746","Maplink1")</f>
        <v>Maplink1</v>
      </c>
      <c r="AW273" s="20" t="str">
        <f>HYPERLINK("https://www.google.iq/maps/search/+35.773,43.5746/@35.773,43.5746,14z?hl=en","Maplink2")</f>
        <v>Maplink2</v>
      </c>
      <c r="AX273" s="20" t="str">
        <f>HYPERLINK("http://www.bing.com/maps/?lvl=14&amp;sty=h&amp;cp=35.773~43.5746&amp;sp=point.35.773_43.5746","Maplink3")</f>
        <v>Maplink3</v>
      </c>
    </row>
    <row r="274" spans="1:50" x14ac:dyDescent="0.25">
      <c r="A274" s="9">
        <v>27244</v>
      </c>
      <c r="B274" s="10" t="s">
        <v>14</v>
      </c>
      <c r="C274" s="10" t="s">
        <v>514</v>
      </c>
      <c r="D274" s="10" t="s">
        <v>531</v>
      </c>
      <c r="E274" s="10" t="s">
        <v>532</v>
      </c>
      <c r="F274" s="10">
        <v>35.776499999999999</v>
      </c>
      <c r="G274" s="10">
        <v>43.578000000000003</v>
      </c>
      <c r="H274" s="10" t="s">
        <v>517</v>
      </c>
      <c r="I274" s="10" t="s">
        <v>518</v>
      </c>
      <c r="J274" s="10"/>
      <c r="K274" s="11">
        <v>213</v>
      </c>
      <c r="L274" s="11">
        <v>1278</v>
      </c>
      <c r="M274" s="11"/>
      <c r="N274" s="11"/>
      <c r="O274" s="11"/>
      <c r="P274" s="11"/>
      <c r="Q274" s="11"/>
      <c r="R274" s="11"/>
      <c r="S274" s="11">
        <v>213</v>
      </c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>
        <v>213</v>
      </c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>
        <v>213</v>
      </c>
      <c r="AS274" s="11"/>
      <c r="AT274" s="11"/>
      <c r="AU274" s="11"/>
      <c r="AV274" s="20" t="str">
        <f>HYPERLINK("http://www.openstreetmap.org/?mlat=35.7736&amp;mlon=43.5808&amp;zoom=12#map=12/35.7736/43.5808","Maplink1")</f>
        <v>Maplink1</v>
      </c>
      <c r="AW274" s="20" t="str">
        <f>HYPERLINK("https://www.google.iq/maps/search/+35.7736,43.5808/@35.7736,43.5808,14z?hl=en","Maplink2")</f>
        <v>Maplink2</v>
      </c>
      <c r="AX274" s="20" t="str">
        <f>HYPERLINK("http://www.bing.com/maps/?lvl=14&amp;sty=h&amp;cp=35.7736~43.5808&amp;sp=point.35.7736_43.5808_Saray(markez bazar)","Maplink3")</f>
        <v>Maplink3</v>
      </c>
    </row>
    <row r="275" spans="1:50" x14ac:dyDescent="0.25">
      <c r="A275" s="9">
        <v>13674</v>
      </c>
      <c r="B275" s="10" t="s">
        <v>14</v>
      </c>
      <c r="C275" s="10" t="s">
        <v>514</v>
      </c>
      <c r="D275" s="10" t="s">
        <v>533</v>
      </c>
      <c r="E275" s="10" t="s">
        <v>534</v>
      </c>
      <c r="F275" s="10">
        <v>35.772500000000001</v>
      </c>
      <c r="G275" s="10">
        <v>43.584000000000003</v>
      </c>
      <c r="H275" s="10" t="s">
        <v>517</v>
      </c>
      <c r="I275" s="10" t="s">
        <v>518</v>
      </c>
      <c r="J275" s="10" t="s">
        <v>535</v>
      </c>
      <c r="K275" s="11">
        <v>500</v>
      </c>
      <c r="L275" s="11">
        <v>3000</v>
      </c>
      <c r="M275" s="11"/>
      <c r="N275" s="11"/>
      <c r="O275" s="11"/>
      <c r="P275" s="11"/>
      <c r="Q275" s="11"/>
      <c r="R275" s="11"/>
      <c r="S275" s="11">
        <v>500</v>
      </c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>
        <v>500</v>
      </c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>
        <v>500</v>
      </c>
      <c r="AS275" s="11"/>
      <c r="AT275" s="11"/>
      <c r="AU275" s="11"/>
      <c r="AV275" s="20" t="str">
        <f>HYPERLINK("http://www.openstreetmap.org/?mlat=35.7725&amp;mlon=43.584&amp;zoom=12#map=12/35.7725/43.584","Maplink1")</f>
        <v>Maplink1</v>
      </c>
      <c r="AW275" s="20" t="str">
        <f>HYPERLINK("https://www.google.iq/maps/search/+35.7725,43.584/@35.7725,43.584,14z?hl=en","Maplink2")</f>
        <v>Maplink2</v>
      </c>
      <c r="AX275" s="20" t="str">
        <f>HYPERLINK("http://www.bing.com/maps/?lvl=14&amp;sty=h&amp;cp=35.7725~43.584&amp;sp=point.35.7725_43.584_Shahidan","Maplink3")</f>
        <v>Maplink3</v>
      </c>
    </row>
    <row r="276" spans="1:50" x14ac:dyDescent="0.25">
      <c r="A276" s="9">
        <v>13675</v>
      </c>
      <c r="B276" s="10" t="s">
        <v>14</v>
      </c>
      <c r="C276" s="10" t="s">
        <v>514</v>
      </c>
      <c r="D276" s="10" t="s">
        <v>536</v>
      </c>
      <c r="E276" s="10" t="s">
        <v>537</v>
      </c>
      <c r="F276" s="10">
        <v>35.771999999999998</v>
      </c>
      <c r="G276" s="10">
        <v>43.574100000000001</v>
      </c>
      <c r="H276" s="10" t="s">
        <v>517</v>
      </c>
      <c r="I276" s="10" t="s">
        <v>518</v>
      </c>
      <c r="J276" s="10" t="s">
        <v>538</v>
      </c>
      <c r="K276" s="11">
        <v>660</v>
      </c>
      <c r="L276" s="11">
        <v>3960</v>
      </c>
      <c r="M276" s="11"/>
      <c r="N276" s="11"/>
      <c r="O276" s="11"/>
      <c r="P276" s="11"/>
      <c r="Q276" s="11"/>
      <c r="R276" s="11"/>
      <c r="S276" s="11">
        <v>660</v>
      </c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>
        <v>660</v>
      </c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>
        <v>660</v>
      </c>
      <c r="AS276" s="11"/>
      <c r="AT276" s="11"/>
      <c r="AU276" s="11"/>
      <c r="AV276" s="20" t="str">
        <f>HYPERLINK("http://www.openstreetmap.org/?mlat=35.7736&amp;mlon=43.5808&amp;zoom=12#map=12/35.7736/43.5808","Maplink1")</f>
        <v>Maplink1</v>
      </c>
      <c r="AW276" s="20" t="str">
        <f>HYPERLINK("https://www.google.iq/maps/search/+35.7736,43.5808/@35.7736,43.5808,14z?hl=en","Maplink2")</f>
        <v>Maplink2</v>
      </c>
      <c r="AX276" s="20" t="str">
        <f>HYPERLINK("http://www.bing.com/maps/?lvl=14&amp;sty=h&amp;cp=35.7736~43.5808&amp;sp=point.35.7736_43.5808_Sherwany","Maplink3")</f>
        <v>Maplink3</v>
      </c>
    </row>
    <row r="277" spans="1:50" x14ac:dyDescent="0.25">
      <c r="A277" s="9">
        <v>15363</v>
      </c>
      <c r="B277" s="10" t="s">
        <v>16</v>
      </c>
      <c r="C277" s="10" t="s">
        <v>16</v>
      </c>
      <c r="D277" s="10" t="s">
        <v>991</v>
      </c>
      <c r="E277" s="10" t="s">
        <v>545</v>
      </c>
      <c r="F277" s="10">
        <v>35.392583000000002</v>
      </c>
      <c r="G277" s="10">
        <v>44.064805999999997</v>
      </c>
      <c r="H277" s="10" t="s">
        <v>540</v>
      </c>
      <c r="I277" s="10" t="s">
        <v>541</v>
      </c>
      <c r="J277" s="10" t="s">
        <v>546</v>
      </c>
      <c r="K277" s="11">
        <v>78</v>
      </c>
      <c r="L277" s="11">
        <v>468</v>
      </c>
      <c r="M277" s="11"/>
      <c r="N277" s="11"/>
      <c r="O277" s="11"/>
      <c r="P277" s="11"/>
      <c r="Q277" s="11"/>
      <c r="R277" s="11"/>
      <c r="S277" s="11"/>
      <c r="T277" s="11"/>
      <c r="U277" s="11">
        <v>78</v>
      </c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>
        <v>78</v>
      </c>
      <c r="AJ277" s="11"/>
      <c r="AK277" s="11"/>
      <c r="AL277" s="11"/>
      <c r="AM277" s="11"/>
      <c r="AN277" s="11"/>
      <c r="AO277" s="11"/>
      <c r="AP277" s="11"/>
      <c r="AQ277" s="11"/>
      <c r="AR277" s="11"/>
      <c r="AS277" s="11">
        <v>78</v>
      </c>
      <c r="AT277" s="11"/>
      <c r="AU277" s="11"/>
      <c r="AV277" s="20" t="str">
        <f>HYPERLINK("http://www.openstreetmap.org/?mlat=35.3926&amp;mlon=44.0648&amp;zoom=12#map=12/35.3926/44.0648","Maplink1")</f>
        <v>Maplink1</v>
      </c>
      <c r="AW277" s="20" t="str">
        <f>HYPERLINK("https://www.google.iq/maps/search/+35.3926,44.0648/@35.3926,44.0648,14z?hl=en","Maplink2")</f>
        <v>Maplink2</v>
      </c>
      <c r="AX277" s="20" t="str">
        <f>HYPERLINK("http://www.bing.com/maps/?lvl=14&amp;sty=h&amp;cp=35.3926~44.0648&amp;sp=point.35.3926_44.0648_Idris khazal","Maplink3")</f>
        <v>Maplink3</v>
      </c>
    </row>
    <row r="278" spans="1:50" x14ac:dyDescent="0.25">
      <c r="A278" s="9">
        <v>25708</v>
      </c>
      <c r="B278" s="10" t="s">
        <v>16</v>
      </c>
      <c r="C278" s="10" t="s">
        <v>16</v>
      </c>
      <c r="D278" s="10" t="s">
        <v>992</v>
      </c>
      <c r="E278" s="10" t="s">
        <v>539</v>
      </c>
      <c r="F278" s="10">
        <v>35.519047</v>
      </c>
      <c r="G278" s="10">
        <v>44.233587999999997</v>
      </c>
      <c r="H278" s="10" t="s">
        <v>540</v>
      </c>
      <c r="I278" s="10" t="s">
        <v>541</v>
      </c>
      <c r="J278" s="10"/>
      <c r="K278" s="11">
        <v>80</v>
      </c>
      <c r="L278" s="11">
        <v>480</v>
      </c>
      <c r="M278" s="11"/>
      <c r="N278" s="11"/>
      <c r="O278" s="11"/>
      <c r="P278" s="11"/>
      <c r="Q278" s="11"/>
      <c r="R278" s="11"/>
      <c r="S278" s="11"/>
      <c r="T278" s="11"/>
      <c r="U278" s="11">
        <v>80</v>
      </c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>
        <v>80</v>
      </c>
      <c r="AJ278" s="11"/>
      <c r="AK278" s="11"/>
      <c r="AL278" s="11"/>
      <c r="AM278" s="11"/>
      <c r="AN278" s="11"/>
      <c r="AO278" s="11"/>
      <c r="AP278" s="11"/>
      <c r="AQ278" s="11"/>
      <c r="AR278" s="11"/>
      <c r="AS278" s="11">
        <v>80</v>
      </c>
      <c r="AT278" s="11"/>
      <c r="AU278" s="11"/>
      <c r="AV278" s="20" t="str">
        <f>HYPERLINK("http://www.openstreetmap.org/?mlat=35.519&amp;mlon=44.2336&amp;zoom=12#map=12/35.519/44.2336","Maplink1")</f>
        <v>Maplink1</v>
      </c>
      <c r="AW278" s="20" t="str">
        <f>HYPERLINK("https://www.google.iq/maps/search/+35.519,44.2336/@35.519,44.2336,14z?hl=en","Maplink2")</f>
        <v>Maplink2</v>
      </c>
      <c r="AX278" s="20" t="str">
        <f>HYPERLINK("http://www.bing.com/maps/?lvl=14&amp;sty=h&amp;cp=35.519~44.2336&amp;sp=point.35.519_44.2336_Al-Hendia","Maplink3")</f>
        <v>Maplink3</v>
      </c>
    </row>
    <row r="279" spans="1:50" x14ac:dyDescent="0.25">
      <c r="A279" s="9">
        <v>14520</v>
      </c>
      <c r="B279" s="10" t="s">
        <v>16</v>
      </c>
      <c r="C279" s="10" t="s">
        <v>16</v>
      </c>
      <c r="D279" s="10" t="s">
        <v>542</v>
      </c>
      <c r="E279" s="10" t="s">
        <v>543</v>
      </c>
      <c r="F279" s="10">
        <v>35.479999999999997</v>
      </c>
      <c r="G279" s="10">
        <v>44.16</v>
      </c>
      <c r="H279" s="10" t="s">
        <v>540</v>
      </c>
      <c r="I279" s="10" t="s">
        <v>541</v>
      </c>
      <c r="J279" s="10" t="s">
        <v>544</v>
      </c>
      <c r="K279" s="11">
        <v>110</v>
      </c>
      <c r="L279" s="11">
        <v>660</v>
      </c>
      <c r="M279" s="11"/>
      <c r="N279" s="11"/>
      <c r="O279" s="11"/>
      <c r="P279" s="11"/>
      <c r="Q279" s="11"/>
      <c r="R279" s="11"/>
      <c r="S279" s="11"/>
      <c r="T279" s="11"/>
      <c r="U279" s="11">
        <v>110</v>
      </c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>
        <v>110</v>
      </c>
      <c r="AJ279" s="11"/>
      <c r="AK279" s="11"/>
      <c r="AL279" s="11"/>
      <c r="AM279" s="11"/>
      <c r="AN279" s="11"/>
      <c r="AO279" s="11"/>
      <c r="AP279" s="11"/>
      <c r="AQ279" s="11"/>
      <c r="AR279" s="11"/>
      <c r="AS279" s="11">
        <v>110</v>
      </c>
      <c r="AT279" s="11"/>
      <c r="AU279" s="11"/>
      <c r="AV279" s="20" t="str">
        <f>HYPERLINK("http://www.openstreetmap.org/?mlat=35.48&amp;mlon=44.16&amp;zoom=12#map=12/35.48/44.16","Maplink1")</f>
        <v>Maplink1</v>
      </c>
      <c r="AW279" s="20" t="str">
        <f>HYPERLINK("https://www.google.iq/maps/search/+35.48,44.16/@35.48,44.16,14z?hl=en","Maplink2")</f>
        <v>Maplink2</v>
      </c>
      <c r="AX279" s="20" t="str">
        <f>HYPERLINK("http://www.bing.com/maps/?lvl=14&amp;sty=h&amp;cp=35.48~44.16&amp;sp=point.35.48_44.16_Idris khabbaz","Maplink3")</f>
        <v>Maplink3</v>
      </c>
    </row>
    <row r="280" spans="1:50" x14ac:dyDescent="0.25">
      <c r="A280" s="9">
        <v>29483</v>
      </c>
      <c r="B280" s="10" t="s">
        <v>16</v>
      </c>
      <c r="C280" s="10" t="s">
        <v>16</v>
      </c>
      <c r="D280" s="10" t="s">
        <v>547</v>
      </c>
      <c r="E280" s="10" t="s">
        <v>548</v>
      </c>
      <c r="F280" s="10">
        <v>35.289000000000001</v>
      </c>
      <c r="G280" s="10">
        <v>44.74</v>
      </c>
      <c r="H280" s="10" t="s">
        <v>540</v>
      </c>
      <c r="I280" s="10" t="s">
        <v>541</v>
      </c>
      <c r="J280" s="10"/>
      <c r="K280" s="11">
        <v>130</v>
      </c>
      <c r="L280" s="11">
        <v>780</v>
      </c>
      <c r="M280" s="11"/>
      <c r="N280" s="11"/>
      <c r="O280" s="11"/>
      <c r="P280" s="11"/>
      <c r="Q280" s="11"/>
      <c r="R280" s="11"/>
      <c r="S280" s="11"/>
      <c r="T280" s="11"/>
      <c r="U280" s="11">
        <v>130</v>
      </c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>
        <v>130</v>
      </c>
      <c r="AJ280" s="11"/>
      <c r="AK280" s="11"/>
      <c r="AL280" s="11"/>
      <c r="AM280" s="11"/>
      <c r="AN280" s="11"/>
      <c r="AO280" s="11"/>
      <c r="AP280" s="11"/>
      <c r="AQ280" s="11"/>
      <c r="AR280" s="11"/>
      <c r="AS280" s="11">
        <v>130</v>
      </c>
      <c r="AT280" s="11"/>
      <c r="AU280" s="11"/>
      <c r="AV280" s="20" t="str">
        <f>HYPERLINK("http://www.openstreetmap.org/?mlat=35.289&amp;mlon=44.74&amp;zoom=12#map=12/35.289/44.74","Maplink1")</f>
        <v>Maplink1</v>
      </c>
      <c r="AW280" s="20" t="str">
        <f>HYPERLINK("https://www.google.iq/maps/search/+35.289,44.74/@35.289,44.74,14z?hl=en","Maplink2")</f>
        <v>Maplink2</v>
      </c>
      <c r="AX280" s="20" t="str">
        <f>HYPERLINK("http://www.bing.com/maps/?lvl=14&amp;sty=h&amp;cp=35.289~44.74&amp;sp=point.35.289_44.74_Al Angaa","Maplink3")</f>
        <v>Maplink3</v>
      </c>
    </row>
    <row r="281" spans="1:50" x14ac:dyDescent="0.25">
      <c r="A281" s="9">
        <v>25811</v>
      </c>
      <c r="B281" s="10" t="s">
        <v>20</v>
      </c>
      <c r="C281" s="10" t="s">
        <v>549</v>
      </c>
      <c r="D281" s="10" t="s">
        <v>993</v>
      </c>
      <c r="E281" s="10" t="s">
        <v>550</v>
      </c>
      <c r="F281" s="10">
        <v>36.490226</v>
      </c>
      <c r="G281" s="10">
        <v>43.423434999999998</v>
      </c>
      <c r="H281" s="10" t="s">
        <v>551</v>
      </c>
      <c r="I281" s="10" t="s">
        <v>552</v>
      </c>
      <c r="J281" s="10"/>
      <c r="K281" s="11">
        <v>10</v>
      </c>
      <c r="L281" s="11">
        <v>60</v>
      </c>
      <c r="M281" s="11"/>
      <c r="N281" s="11"/>
      <c r="O281" s="11"/>
      <c r="P281" s="11"/>
      <c r="Q281" s="11">
        <v>10</v>
      </c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>
        <v>10</v>
      </c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>
        <v>10</v>
      </c>
      <c r="AS281" s="11"/>
      <c r="AT281" s="11"/>
      <c r="AU281" s="11"/>
      <c r="AV281" s="20" t="str">
        <f>HYPERLINK("http://www.openstreetmap.org/?mlat=36.4902&amp;mlon=43.4234&amp;zoom=12#map=12/36.4902/43.4234","Maplink1")</f>
        <v>Maplink1</v>
      </c>
      <c r="AW281" s="20" t="str">
        <f>HYPERLINK("https://www.google.iq/maps/search/+36.4902,43.4234/@36.4902,43.4234,14z?hl=en","Maplink2")</f>
        <v>Maplink2</v>
      </c>
      <c r="AX281" s="20" t="str">
        <f>HYPERLINK("http://www.bing.com/maps/?lvl=14&amp;sty=h&amp;cp=36.4902~43.4234&amp;sp=point.36.4902_43.4234_Al-Alfaf Collective Center","Maplink3")</f>
        <v>Maplink3</v>
      </c>
    </row>
    <row r="282" spans="1:50" x14ac:dyDescent="0.25">
      <c r="A282" s="9">
        <v>25812</v>
      </c>
      <c r="B282" s="10" t="s">
        <v>20</v>
      </c>
      <c r="C282" s="10" t="s">
        <v>549</v>
      </c>
      <c r="D282" s="10" t="s">
        <v>994</v>
      </c>
      <c r="E282" s="10" t="s">
        <v>553</v>
      </c>
      <c r="F282" s="10">
        <v>36.475911000000004</v>
      </c>
      <c r="G282" s="10">
        <v>43.434956</v>
      </c>
      <c r="H282" s="10" t="s">
        <v>551</v>
      </c>
      <c r="I282" s="10" t="s">
        <v>552</v>
      </c>
      <c r="J282" s="10"/>
      <c r="K282" s="11">
        <v>17</v>
      </c>
      <c r="L282" s="11">
        <v>102</v>
      </c>
      <c r="M282" s="11"/>
      <c r="N282" s="11"/>
      <c r="O282" s="11"/>
      <c r="P282" s="11"/>
      <c r="Q282" s="11">
        <v>17</v>
      </c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>
        <v>17</v>
      </c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>
        <v>17</v>
      </c>
      <c r="AS282" s="11"/>
      <c r="AT282" s="11"/>
      <c r="AU282" s="11"/>
      <c r="AV282" s="20" t="str">
        <f>HYPERLINK("http://www.openstreetmap.org/?mlat=36.4759&amp;mlon=43.435&amp;zoom=12#map=12/36.4759/43.435","Maplink1")</f>
        <v>Maplink1</v>
      </c>
      <c r="AW282" s="20" t="str">
        <f>HYPERLINK("https://www.google.iq/maps/search/+36.4759,43.435/@36.4759,43.435,14z?hl=en","Maplink2")</f>
        <v>Maplink2</v>
      </c>
      <c r="AX282" s="20" t="str">
        <f>HYPERLINK("http://www.bing.com/maps/?lvl=14&amp;sty=h&amp;cp=36.4759~43.435&amp;sp=point.36.4759_43.435_Al-baraka Collective Center","Maplink3")</f>
        <v>Maplink3</v>
      </c>
    </row>
    <row r="283" spans="1:50" x14ac:dyDescent="0.25">
      <c r="A283" s="9">
        <v>25813</v>
      </c>
      <c r="B283" s="10" t="s">
        <v>20</v>
      </c>
      <c r="C283" s="10" t="s">
        <v>549</v>
      </c>
      <c r="D283" s="10" t="s">
        <v>995</v>
      </c>
      <c r="E283" s="10" t="s">
        <v>554</v>
      </c>
      <c r="F283" s="10">
        <v>36.492462000000003</v>
      </c>
      <c r="G283" s="10">
        <v>43.423974000000001</v>
      </c>
      <c r="H283" s="10" t="s">
        <v>551</v>
      </c>
      <c r="I283" s="10" t="s">
        <v>552</v>
      </c>
      <c r="J283" s="10"/>
      <c r="K283" s="11">
        <v>23</v>
      </c>
      <c r="L283" s="11">
        <v>138</v>
      </c>
      <c r="M283" s="11"/>
      <c r="N283" s="11"/>
      <c r="O283" s="11"/>
      <c r="P283" s="11"/>
      <c r="Q283" s="11">
        <v>13</v>
      </c>
      <c r="R283" s="11"/>
      <c r="S283" s="11">
        <v>10</v>
      </c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>
        <v>23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>
        <v>23</v>
      </c>
      <c r="AS283" s="11"/>
      <c r="AT283" s="11"/>
      <c r="AU283" s="11"/>
      <c r="AV283" s="20" t="str">
        <f>HYPERLINK("http://www.openstreetmap.org/?mlat=36.4925&amp;mlon=43.424&amp;zoom=12#map=12/36.4925/43.424","Maplink1")</f>
        <v>Maplink1</v>
      </c>
      <c r="AW283" s="20" t="str">
        <f>HYPERLINK("https://www.google.iq/maps/search/+36.4925,43.424/@36.4925,43.424,14z?hl=en","Maplink2")</f>
        <v>Maplink2</v>
      </c>
      <c r="AX283" s="20" t="str">
        <f>HYPERLINK("http://www.bing.com/maps/?lvl=14&amp;sty=h&amp;cp=36.4925~43.424&amp;sp=point.36.4925_43.424_Maghara","Maplink3")</f>
        <v>Maplink3</v>
      </c>
    </row>
    <row r="284" spans="1:50" x14ac:dyDescent="0.25">
      <c r="A284" s="9">
        <v>25810</v>
      </c>
      <c r="B284" s="10" t="s">
        <v>20</v>
      </c>
      <c r="C284" s="10" t="s">
        <v>549</v>
      </c>
      <c r="D284" s="10" t="s">
        <v>996</v>
      </c>
      <c r="E284" s="10" t="s">
        <v>555</v>
      </c>
      <c r="F284" s="10">
        <v>36.477575999999999</v>
      </c>
      <c r="G284" s="10">
        <v>43.439771999999998</v>
      </c>
      <c r="H284" s="10" t="s">
        <v>551</v>
      </c>
      <c r="I284" s="10" t="s">
        <v>552</v>
      </c>
      <c r="J284" s="10"/>
      <c r="K284" s="11">
        <v>65</v>
      </c>
      <c r="L284" s="11">
        <v>390</v>
      </c>
      <c r="M284" s="11"/>
      <c r="N284" s="11"/>
      <c r="O284" s="11"/>
      <c r="P284" s="11"/>
      <c r="Q284" s="11">
        <v>30</v>
      </c>
      <c r="R284" s="11"/>
      <c r="S284" s="11">
        <v>35</v>
      </c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>
        <v>65</v>
      </c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>
        <v>65</v>
      </c>
      <c r="AS284" s="11"/>
      <c r="AT284" s="11"/>
      <c r="AU284" s="11"/>
      <c r="AV284" s="20" t="str">
        <f>HYPERLINK("http://www.openstreetmap.org/?mlat=36.4776&amp;mlon=43.4398&amp;zoom=12#map=12/36.4776/43.4398","Maplink1")</f>
        <v>Maplink1</v>
      </c>
      <c r="AW284" s="20" t="str">
        <f>HYPERLINK("https://www.google.iq/maps/search/+36.4776,43.4398/@36.4776,43.4398,14z?hl=en","Maplink2")</f>
        <v>Maplink2</v>
      </c>
      <c r="AX284" s="20" t="str">
        <f>HYPERLINK("http://www.bing.com/maps/?lvl=14&amp;sty=h&amp;cp=36.4776~43.4398&amp;sp=point.36.4776_43.4398_Merki","Maplink3")</f>
        <v>Maplink3</v>
      </c>
    </row>
    <row r="285" spans="1:50" x14ac:dyDescent="0.25">
      <c r="A285" s="9">
        <v>27396</v>
      </c>
      <c r="B285" s="10" t="s">
        <v>20</v>
      </c>
      <c r="C285" s="10" t="s">
        <v>556</v>
      </c>
      <c r="D285" s="10" t="s">
        <v>557</v>
      </c>
      <c r="E285" s="10" t="s">
        <v>558</v>
      </c>
      <c r="F285" s="10">
        <v>36.450074999999998</v>
      </c>
      <c r="G285" s="10">
        <v>41.771850000000001</v>
      </c>
      <c r="H285" s="10" t="s">
        <v>551</v>
      </c>
      <c r="I285" s="10" t="s">
        <v>559</v>
      </c>
      <c r="J285" s="10"/>
      <c r="K285" s="11">
        <v>146</v>
      </c>
      <c r="L285" s="11">
        <v>876</v>
      </c>
      <c r="M285" s="11"/>
      <c r="N285" s="11"/>
      <c r="O285" s="11"/>
      <c r="P285" s="11"/>
      <c r="Q285" s="11">
        <v>146</v>
      </c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>
        <v>146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>
        <v>146</v>
      </c>
      <c r="AS285" s="11"/>
      <c r="AT285" s="11"/>
      <c r="AU285" s="11"/>
      <c r="AV285" s="20" t="str">
        <f>HYPERLINK("http://www.openstreetmap.org/?mlat=36.4501&amp;mlon=41.7719&amp;zoom=12#map=12/36.4501/41.7719","Maplink1")</f>
        <v>Maplink1</v>
      </c>
      <c r="AW285" s="20" t="str">
        <f>HYPERLINK("https://www.google.iq/maps/search/+36.4501,41.7719/@36.4501,41.7719,14z?hl=en","Maplink2")</f>
        <v>Maplink2</v>
      </c>
      <c r="AX285" s="20" t="str">
        <f>HYPERLINK("http://www.bing.com/maps/?lvl=14&amp;sty=h&amp;cp=36.4501~41.7719&amp;sp=point.36.4501_41.7719_Adika","Maplink3")</f>
        <v>Maplink3</v>
      </c>
    </row>
    <row r="286" spans="1:50" x14ac:dyDescent="0.25">
      <c r="A286" s="9">
        <v>27403</v>
      </c>
      <c r="B286" s="10" t="s">
        <v>20</v>
      </c>
      <c r="C286" s="10" t="s">
        <v>556</v>
      </c>
      <c r="D286" s="10" t="s">
        <v>560</v>
      </c>
      <c r="E286" s="10" t="s">
        <v>561</v>
      </c>
      <c r="F286" s="10">
        <v>36.437987999999997</v>
      </c>
      <c r="G286" s="10">
        <v>41.711075000000001</v>
      </c>
      <c r="H286" s="10" t="s">
        <v>551</v>
      </c>
      <c r="I286" s="10" t="s">
        <v>559</v>
      </c>
      <c r="J286" s="10"/>
      <c r="K286" s="11">
        <v>145</v>
      </c>
      <c r="L286" s="11">
        <v>870</v>
      </c>
      <c r="M286" s="11"/>
      <c r="N286" s="11"/>
      <c r="O286" s="11"/>
      <c r="P286" s="11"/>
      <c r="Q286" s="11">
        <v>145</v>
      </c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>
        <v>145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>
        <v>145</v>
      </c>
      <c r="AS286" s="11"/>
      <c r="AT286" s="11"/>
      <c r="AU286" s="11"/>
      <c r="AV286" s="20" t="str">
        <f>HYPERLINK("http://www.openstreetmap.org/?mlat=36.438&amp;mlon=41.7111&amp;zoom=12#map=12/36.438/41.7111","Maplink1")</f>
        <v>Maplink1</v>
      </c>
      <c r="AW286" s="20" t="str">
        <f>HYPERLINK("https://www.google.iq/maps/search/+36.438,41.7111/@36.438,41.7111,14z?hl=en","Maplink2")</f>
        <v>Maplink2</v>
      </c>
      <c r="AX286" s="20" t="str">
        <f>HYPERLINK("http://www.bing.com/maps/?lvl=14&amp;sty=h&amp;cp=36.438~41.7111&amp;sp=point.36.438_41.7111_Ashti &amp; Heriko","Maplink3")</f>
        <v>Maplink3</v>
      </c>
    </row>
    <row r="287" spans="1:50" x14ac:dyDescent="0.25">
      <c r="A287" s="9">
        <v>28415</v>
      </c>
      <c r="B287" s="10" t="s">
        <v>20</v>
      </c>
      <c r="C287" s="10" t="s">
        <v>556</v>
      </c>
      <c r="D287" s="10" t="s">
        <v>562</v>
      </c>
      <c r="E287" s="10" t="s">
        <v>563</v>
      </c>
      <c r="F287" s="10">
        <v>36.428418000000001</v>
      </c>
      <c r="G287" s="10">
        <v>41.909446000000003</v>
      </c>
      <c r="H287" s="10" t="s">
        <v>551</v>
      </c>
      <c r="I287" s="10" t="s">
        <v>559</v>
      </c>
      <c r="J287" s="10"/>
      <c r="K287" s="11">
        <v>68</v>
      </c>
      <c r="L287" s="11">
        <v>408</v>
      </c>
      <c r="M287" s="11"/>
      <c r="N287" s="11"/>
      <c r="O287" s="11"/>
      <c r="P287" s="11"/>
      <c r="Q287" s="11">
        <v>68</v>
      </c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>
        <v>68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>
        <v>68</v>
      </c>
      <c r="AS287" s="11"/>
      <c r="AT287" s="11"/>
      <c r="AU287" s="11"/>
      <c r="AV287" s="20" t="str">
        <f>HYPERLINK("http://www.openstreetmap.org/?mlat=36.4284&amp;mlon=41.9094&amp;zoom=12#map=12/36.4284/41.9094","Maplink1")</f>
        <v>Maplink1</v>
      </c>
      <c r="AW287" s="20" t="str">
        <f>HYPERLINK("https://www.google.iq/maps/search/+36.4284,41.9094/@36.4284,41.9094,14z?hl=en","Maplink2")</f>
        <v>Maplink2</v>
      </c>
      <c r="AX287" s="20" t="str">
        <f>HYPERLINK("http://www.bing.com/maps/?lvl=14&amp;sty=h&amp;cp=36.4284~41.9094&amp;sp=point.36.4284_41.9094_Al Angaa","Maplink3")</f>
        <v>Maplink3</v>
      </c>
    </row>
    <row r="288" spans="1:50" x14ac:dyDescent="0.25">
      <c r="A288" s="9">
        <v>27366</v>
      </c>
      <c r="B288" s="10" t="s">
        <v>20</v>
      </c>
      <c r="C288" s="10" t="s">
        <v>556</v>
      </c>
      <c r="D288" s="10" t="s">
        <v>564</v>
      </c>
      <c r="E288" s="10" t="s">
        <v>565</v>
      </c>
      <c r="F288" s="10">
        <v>36.372866999999999</v>
      </c>
      <c r="G288" s="10">
        <v>41.685724999999998</v>
      </c>
      <c r="H288" s="10" t="s">
        <v>551</v>
      </c>
      <c r="I288" s="10" t="s">
        <v>559</v>
      </c>
      <c r="J288" s="10"/>
      <c r="K288" s="11">
        <v>52</v>
      </c>
      <c r="L288" s="11">
        <v>312</v>
      </c>
      <c r="M288" s="11"/>
      <c r="N288" s="11"/>
      <c r="O288" s="11"/>
      <c r="P288" s="11"/>
      <c r="Q288" s="11">
        <v>52</v>
      </c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>
        <v>52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>
        <v>52</v>
      </c>
      <c r="AS288" s="11"/>
      <c r="AT288" s="11"/>
      <c r="AU288" s="11"/>
      <c r="AV288" s="20" t="str">
        <f>HYPERLINK("http://www.openstreetmap.org/?mlat=36.3729&amp;mlon=41.6857&amp;zoom=12#map=12/36.3729/41.6857","Maplink1")</f>
        <v>Maplink1</v>
      </c>
      <c r="AW288" s="20" t="str">
        <f>HYPERLINK("https://www.google.iq/maps/search/+36.3729,41.6857/@36.3729,41.6857,14z?hl=en","Maplink2")</f>
        <v>Maplink2</v>
      </c>
      <c r="AX288" s="20" t="str">
        <f>HYPERLINK("http://www.bing.com/maps/?lvl=14&amp;sty=h&amp;cp=36.3729~41.6857&amp;sp=point.36.3729_41.6857_Balif","Maplink3")</f>
        <v>Maplink3</v>
      </c>
    </row>
    <row r="289" spans="1:50" x14ac:dyDescent="0.25">
      <c r="A289" s="9">
        <v>28416</v>
      </c>
      <c r="B289" s="10" t="s">
        <v>20</v>
      </c>
      <c r="C289" s="10" t="s">
        <v>556</v>
      </c>
      <c r="D289" s="10" t="s">
        <v>566</v>
      </c>
      <c r="E289" s="10" t="s">
        <v>567</v>
      </c>
      <c r="F289" s="10">
        <v>36.451013000000003</v>
      </c>
      <c r="G289" s="10">
        <v>41.805731000000002</v>
      </c>
      <c r="H289" s="10" t="s">
        <v>551</v>
      </c>
      <c r="I289" s="10" t="s">
        <v>559</v>
      </c>
      <c r="J289" s="10"/>
      <c r="K289" s="11">
        <v>8</v>
      </c>
      <c r="L289" s="11">
        <v>48</v>
      </c>
      <c r="M289" s="11"/>
      <c r="N289" s="11"/>
      <c r="O289" s="11"/>
      <c r="P289" s="11"/>
      <c r="Q289" s="11">
        <v>8</v>
      </c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>
        <v>8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>
        <v>8</v>
      </c>
      <c r="AS289" s="11"/>
      <c r="AT289" s="11"/>
      <c r="AU289" s="11"/>
      <c r="AV289" s="20" t="str">
        <f>HYPERLINK("http://www.openstreetmap.org/?mlat=36.451&amp;mlon=41.8057&amp;zoom=12#map=12/36.451/41.8057","Maplink1")</f>
        <v>Maplink1</v>
      </c>
      <c r="AW289" s="20" t="str">
        <f>HYPERLINK("https://www.google.iq/maps/search/+36.451,41.8057/@36.451,41.8057,14z?hl=en","Maplink2")</f>
        <v>Maplink2</v>
      </c>
      <c r="AX289" s="20" t="str">
        <f>HYPERLINK("http://www.bing.com/maps/?lvl=14&amp;sty=h&amp;cp=36.451~41.8057&amp;sp=point.36.451_41.8057_Al Angaa","Maplink3")</f>
        <v>Maplink3</v>
      </c>
    </row>
    <row r="290" spans="1:50" x14ac:dyDescent="0.25">
      <c r="A290" s="9">
        <v>27360</v>
      </c>
      <c r="B290" s="10" t="s">
        <v>20</v>
      </c>
      <c r="C290" s="10" t="s">
        <v>556</v>
      </c>
      <c r="D290" s="10" t="s">
        <v>1123</v>
      </c>
      <c r="E290" s="10" t="s">
        <v>1124</v>
      </c>
      <c r="F290" s="10">
        <v>36.375472000000002</v>
      </c>
      <c r="G290" s="10">
        <v>41.484878000000002</v>
      </c>
      <c r="H290" s="10" t="s">
        <v>551</v>
      </c>
      <c r="I290" s="10" t="s">
        <v>559</v>
      </c>
      <c r="J290" s="10"/>
      <c r="K290" s="11">
        <v>10</v>
      </c>
      <c r="L290" s="11">
        <v>60</v>
      </c>
      <c r="M290" s="11"/>
      <c r="N290" s="11"/>
      <c r="O290" s="11"/>
      <c r="P290" s="11"/>
      <c r="Q290" s="11">
        <v>10</v>
      </c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>
        <v>10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>
        <v>10</v>
      </c>
      <c r="AS290" s="11"/>
      <c r="AT290" s="11"/>
      <c r="AU290" s="11"/>
      <c r="AV290" s="20" t="str">
        <f>HYPERLINK("http://www.openstreetmap.org/?mlat=36.3755&amp;mlon=41.4849&amp;zoom=12#map=12/36.3755/41.4849","Maplink1")</f>
        <v>Maplink1</v>
      </c>
      <c r="AW290" s="20" t="str">
        <f>HYPERLINK("https://www.google.iq/maps/search/+36.3755,41.4849/@36.3755,41.4849,14z?hl=en","Maplink2")</f>
        <v>Maplink2</v>
      </c>
      <c r="AX290" s="20" t="str">
        <f>HYPERLINK("http://www.bing.com/maps/?lvl=14&amp;sty=h&amp;cp=36.3755~41.4849&amp;sp=point.36.3755_41.4849_Barah","Maplink3")</f>
        <v>Maplink3</v>
      </c>
    </row>
    <row r="291" spans="1:50" x14ac:dyDescent="0.25">
      <c r="A291" s="9">
        <v>27365</v>
      </c>
      <c r="B291" s="10" t="s">
        <v>20</v>
      </c>
      <c r="C291" s="10" t="s">
        <v>556</v>
      </c>
      <c r="D291" s="10" t="s">
        <v>568</v>
      </c>
      <c r="E291" s="10" t="s">
        <v>569</v>
      </c>
      <c r="F291" s="10">
        <v>36.417622999999999</v>
      </c>
      <c r="G291" s="10">
        <v>41.911800999999997</v>
      </c>
      <c r="H291" s="10" t="s">
        <v>551</v>
      </c>
      <c r="I291" s="10" t="s">
        <v>559</v>
      </c>
      <c r="J291" s="10"/>
      <c r="K291" s="11">
        <v>36</v>
      </c>
      <c r="L291" s="11">
        <v>216</v>
      </c>
      <c r="M291" s="11"/>
      <c r="N291" s="11"/>
      <c r="O291" s="11"/>
      <c r="P291" s="11"/>
      <c r="Q291" s="11">
        <v>36</v>
      </c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>
        <v>36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>
        <v>36</v>
      </c>
      <c r="AS291" s="11"/>
      <c r="AT291" s="11"/>
      <c r="AU291" s="11"/>
      <c r="AV291" s="20" t="str">
        <f>HYPERLINK("http://www.openstreetmap.org/?mlat=36.4176&amp;mlon=41.9118&amp;zoom=12#map=12/36.4176/41.9118","Maplink1")</f>
        <v>Maplink1</v>
      </c>
      <c r="AW291" s="20" t="str">
        <f>HYPERLINK("https://www.google.iq/maps/search/+36.4176,41.9118/@36.4176,41.9118,14z?hl=en","Maplink2")</f>
        <v>Maplink2</v>
      </c>
      <c r="AX291" s="20" t="str">
        <f>HYPERLINK("http://www.bing.com/maps/?lvl=14&amp;sty=h&amp;cp=36.4176~41.9118&amp;sp=point.36.4176_41.9118_Bayevok","Maplink3")</f>
        <v>Maplink3</v>
      </c>
    </row>
    <row r="292" spans="1:50" x14ac:dyDescent="0.25">
      <c r="A292" s="9">
        <v>17720</v>
      </c>
      <c r="B292" s="10" t="s">
        <v>20</v>
      </c>
      <c r="C292" s="10" t="s">
        <v>556</v>
      </c>
      <c r="D292" s="10" t="s">
        <v>570</v>
      </c>
      <c r="E292" s="10" t="s">
        <v>571</v>
      </c>
      <c r="F292" s="10">
        <v>36.537849000000001</v>
      </c>
      <c r="G292" s="10">
        <v>41.707028999999999</v>
      </c>
      <c r="H292" s="10" t="s">
        <v>551</v>
      </c>
      <c r="I292" s="10" t="s">
        <v>559</v>
      </c>
      <c r="J292" s="10" t="s">
        <v>572</v>
      </c>
      <c r="K292" s="11">
        <v>13</v>
      </c>
      <c r="L292" s="11">
        <v>78</v>
      </c>
      <c r="M292" s="11"/>
      <c r="N292" s="11"/>
      <c r="O292" s="11"/>
      <c r="P292" s="11"/>
      <c r="Q292" s="11">
        <v>13</v>
      </c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>
        <v>13</v>
      </c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>
        <v>13</v>
      </c>
      <c r="AS292" s="11"/>
      <c r="AT292" s="11"/>
      <c r="AU292" s="11"/>
      <c r="AV292" s="20" t="str">
        <f>HYPERLINK("http://www.openstreetmap.org/?mlat=36.5378&amp;mlon=41.707&amp;zoom=12#map=12/36.5378/41.707","Maplink1")</f>
        <v>Maplink1</v>
      </c>
      <c r="AW292" s="20" t="str">
        <f>HYPERLINK("https://www.google.iq/maps/search/+36.5378,41.707/@36.5378,41.707,14z?hl=en","Maplink2")</f>
        <v>Maplink2</v>
      </c>
      <c r="AX292" s="20" t="str">
        <f>HYPERLINK("http://www.bing.com/maps/?lvl=14&amp;sty=h&amp;cp=36.5378~41.707&amp;sp=point.36.5378_41.707_Al Angaa","Maplink3")</f>
        <v>Maplink3</v>
      </c>
    </row>
    <row r="293" spans="1:50" x14ac:dyDescent="0.25">
      <c r="A293" s="9">
        <v>27285</v>
      </c>
      <c r="B293" s="10" t="s">
        <v>20</v>
      </c>
      <c r="C293" s="10" t="s">
        <v>556</v>
      </c>
      <c r="D293" s="10" t="s">
        <v>997</v>
      </c>
      <c r="E293" s="10" t="s">
        <v>573</v>
      </c>
      <c r="F293" s="10">
        <v>36.496307999999999</v>
      </c>
      <c r="G293" s="10">
        <v>41.868706000000003</v>
      </c>
      <c r="H293" s="10" t="s">
        <v>551</v>
      </c>
      <c r="I293" s="10" t="s">
        <v>559</v>
      </c>
      <c r="J293" s="10"/>
      <c r="K293" s="11">
        <v>770</v>
      </c>
      <c r="L293" s="11">
        <v>4620</v>
      </c>
      <c r="M293" s="11"/>
      <c r="N293" s="11"/>
      <c r="O293" s="11"/>
      <c r="P293" s="11"/>
      <c r="Q293" s="11">
        <v>770</v>
      </c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>
        <v>770</v>
      </c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>
        <v>770</v>
      </c>
      <c r="AS293" s="11"/>
      <c r="AT293" s="11"/>
      <c r="AU293" s="11"/>
      <c r="AV293" s="20" t="str">
        <f>HYPERLINK("http://www.openstreetmap.org/?mlat=36.4963&amp;mlon=41.8687&amp;zoom=12#map=12/36.4963/41.8687","Maplink1")</f>
        <v>Maplink1</v>
      </c>
      <c r="AW293" s="20" t="str">
        <f>HYPERLINK("https://www.google.iq/maps/search/+36.4963,41.8687/@36.4963,41.8687,14z?hl=en","Maplink2")</f>
        <v>Maplink2</v>
      </c>
      <c r="AX293" s="20" t="str">
        <f>HYPERLINK("http://www.bing.com/maps/?lvl=14&amp;sty=h&amp;cp=36.4963~41.8687&amp;sp=point.36.4963_41.8687_Borak","Maplink3")</f>
        <v>Maplink3</v>
      </c>
    </row>
    <row r="294" spans="1:50" x14ac:dyDescent="0.25">
      <c r="A294" s="9">
        <v>27398</v>
      </c>
      <c r="B294" s="10" t="s">
        <v>20</v>
      </c>
      <c r="C294" s="10" t="s">
        <v>556</v>
      </c>
      <c r="D294" s="10" t="s">
        <v>574</v>
      </c>
      <c r="E294" s="10" t="s">
        <v>575</v>
      </c>
      <c r="F294" s="10">
        <v>36.395296000000002</v>
      </c>
      <c r="G294" s="10">
        <v>41.856828999999998</v>
      </c>
      <c r="H294" s="10" t="s">
        <v>551</v>
      </c>
      <c r="I294" s="10" t="s">
        <v>559</v>
      </c>
      <c r="J294" s="10"/>
      <c r="K294" s="11">
        <v>3</v>
      </c>
      <c r="L294" s="11">
        <v>18</v>
      </c>
      <c r="M294" s="11"/>
      <c r="N294" s="11"/>
      <c r="O294" s="11"/>
      <c r="P294" s="11"/>
      <c r="Q294" s="11">
        <v>3</v>
      </c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>
        <v>3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>
        <v>3</v>
      </c>
      <c r="AS294" s="11"/>
      <c r="AT294" s="11"/>
      <c r="AU294" s="11"/>
      <c r="AV294" s="20" t="str">
        <f>HYPERLINK("http://www.openstreetmap.org/?mlat=36.3953&amp;mlon=41.8568&amp;zoom=12#map=12/36.3953/41.8568","Maplink1")</f>
        <v>Maplink1</v>
      </c>
      <c r="AW294" s="20" t="str">
        <f>HYPERLINK("https://www.google.iq/maps/search/+36.3953,41.8568/@36.3953,41.8568,14z?hl=en","Maplink2")</f>
        <v>Maplink2</v>
      </c>
      <c r="AX294" s="20" t="str">
        <f>HYPERLINK("http://www.bing.com/maps/?lvl=14&amp;sty=h&amp;cp=36.3953~41.8568&amp;sp=point.36.3953_41.8568_Cheyl mira","Maplink3")</f>
        <v>Maplink3</v>
      </c>
    </row>
    <row r="295" spans="1:50" x14ac:dyDescent="0.25">
      <c r="A295" s="9">
        <v>28418</v>
      </c>
      <c r="B295" s="10" t="s">
        <v>20</v>
      </c>
      <c r="C295" s="10" t="s">
        <v>556</v>
      </c>
      <c r="D295" s="10" t="s">
        <v>576</v>
      </c>
      <c r="E295" s="10" t="s">
        <v>577</v>
      </c>
      <c r="F295" s="10">
        <v>36.376939999999998</v>
      </c>
      <c r="G295" s="10">
        <v>41.720059999999997</v>
      </c>
      <c r="H295" s="10" t="s">
        <v>551</v>
      </c>
      <c r="I295" s="10" t="s">
        <v>559</v>
      </c>
      <c r="J295" s="10"/>
      <c r="K295" s="11">
        <v>1</v>
      </c>
      <c r="L295" s="11">
        <v>6</v>
      </c>
      <c r="M295" s="11"/>
      <c r="N295" s="11"/>
      <c r="O295" s="11"/>
      <c r="P295" s="11"/>
      <c r="Q295" s="11">
        <v>1</v>
      </c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>
        <v>1</v>
      </c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>
        <v>1</v>
      </c>
      <c r="AS295" s="11"/>
      <c r="AT295" s="11"/>
      <c r="AU295" s="11"/>
      <c r="AV295" s="20" t="str">
        <f>HYPERLINK("http://www.openstreetmap.org/?mlat=36.3769&amp;mlon=41.7201&amp;zoom=12#map=12/36.3769/41.7201","Maplink1")</f>
        <v>Maplink1</v>
      </c>
      <c r="AW295" s="20" t="str">
        <f>HYPERLINK("https://www.google.iq/maps/search/+36.3769,41.7201/@36.3769,41.7201,14z?hl=en","Maplink2")</f>
        <v>Maplink2</v>
      </c>
      <c r="AX295" s="20" t="str">
        <f>HYPERLINK("http://www.bing.com/maps/?lvl=14&amp;sty=h&amp;cp=36.3769~41.7201&amp;sp=point.36.3769_41.7201_Al Angaa","Maplink3")</f>
        <v>Maplink3</v>
      </c>
    </row>
    <row r="296" spans="1:50" x14ac:dyDescent="0.25">
      <c r="A296" s="9">
        <v>27284</v>
      </c>
      <c r="B296" s="10" t="s">
        <v>20</v>
      </c>
      <c r="C296" s="10" t="s">
        <v>556</v>
      </c>
      <c r="D296" s="10" t="s">
        <v>578</v>
      </c>
      <c r="E296" s="10" t="s">
        <v>579</v>
      </c>
      <c r="F296" s="10">
        <v>36.492364000000002</v>
      </c>
      <c r="G296" s="10">
        <v>41.813392</v>
      </c>
      <c r="H296" s="10" t="s">
        <v>551</v>
      </c>
      <c r="I296" s="10" t="s">
        <v>559</v>
      </c>
      <c r="J296" s="10"/>
      <c r="K296" s="11">
        <v>195</v>
      </c>
      <c r="L296" s="11">
        <v>1170</v>
      </c>
      <c r="M296" s="11"/>
      <c r="N296" s="11"/>
      <c r="O296" s="11"/>
      <c r="P296" s="11"/>
      <c r="Q296" s="11">
        <v>195</v>
      </c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>
        <v>195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>
        <v>195</v>
      </c>
      <c r="AS296" s="11"/>
      <c r="AT296" s="11"/>
      <c r="AU296" s="11"/>
      <c r="AV296" s="20" t="str">
        <f>HYPERLINK("http://www.openstreetmap.org/?mlat=36.4924&amp;mlon=41.8134&amp;zoom=12#map=12/36.4924/41.8134","Maplink1")</f>
        <v>Maplink1</v>
      </c>
      <c r="AW296" s="20" t="str">
        <f>HYPERLINK("https://www.google.iq/maps/search/+36.4924,41.8134/@36.4924,41.8134,14z?hl=en","Maplink2")</f>
        <v>Maplink2</v>
      </c>
      <c r="AX296" s="20" t="str">
        <f>HYPERLINK("http://www.bing.com/maps/?lvl=14&amp;sty=h&amp;cp=36.4924~41.8134&amp;sp=point.36.4924_41.8134_Dohola ","Maplink3")</f>
        <v>Maplink3</v>
      </c>
    </row>
    <row r="297" spans="1:50" x14ac:dyDescent="0.25">
      <c r="A297" s="9">
        <v>27283</v>
      </c>
      <c r="B297" s="10" t="s">
        <v>20</v>
      </c>
      <c r="C297" s="10" t="s">
        <v>556</v>
      </c>
      <c r="D297" s="10" t="s">
        <v>580</v>
      </c>
      <c r="E297" s="10" t="s">
        <v>581</v>
      </c>
      <c r="F297" s="10">
        <v>36.475532999999999</v>
      </c>
      <c r="G297" s="10">
        <v>41.746789</v>
      </c>
      <c r="H297" s="10" t="s">
        <v>551</v>
      </c>
      <c r="I297" s="10" t="s">
        <v>559</v>
      </c>
      <c r="J297" s="10"/>
      <c r="K297" s="11">
        <v>180</v>
      </c>
      <c r="L297" s="11">
        <v>1080</v>
      </c>
      <c r="M297" s="11"/>
      <c r="N297" s="11"/>
      <c r="O297" s="11"/>
      <c r="P297" s="11"/>
      <c r="Q297" s="11">
        <v>180</v>
      </c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>
        <v>180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>
        <v>180</v>
      </c>
      <c r="AS297" s="11"/>
      <c r="AT297" s="11"/>
      <c r="AU297" s="11"/>
      <c r="AV297" s="20" t="str">
        <f>HYPERLINK("http://www.openstreetmap.org/?mlat=36.4755&amp;mlon=41.7468&amp;zoom=12#map=12/36.4755/41.7468","Maplink1")</f>
        <v>Maplink1</v>
      </c>
      <c r="AW297" s="20" t="str">
        <f>HYPERLINK("https://www.google.iq/maps/search/+36.4755,41.7468/@36.4755,41.7468,14z?hl=en","Maplink2")</f>
        <v>Maplink2</v>
      </c>
      <c r="AX297" s="20" t="str">
        <f>HYPERLINK("http://www.bing.com/maps/?lvl=14&amp;sty=h&amp;cp=36.4755~41.7468&amp;sp=point.36.4755_41.7468_Dokri","Maplink3")</f>
        <v>Maplink3</v>
      </c>
    </row>
    <row r="298" spans="1:50" x14ac:dyDescent="0.25">
      <c r="A298" s="9">
        <v>28417</v>
      </c>
      <c r="B298" s="10" t="s">
        <v>20</v>
      </c>
      <c r="C298" s="10" t="s">
        <v>556</v>
      </c>
      <c r="D298" s="10" t="s">
        <v>582</v>
      </c>
      <c r="E298" s="10" t="s">
        <v>583</v>
      </c>
      <c r="F298" s="10">
        <v>36.423960000000001</v>
      </c>
      <c r="G298" s="10">
        <v>42.034978000000002</v>
      </c>
      <c r="H298" s="10" t="s">
        <v>551</v>
      </c>
      <c r="I298" s="10" t="s">
        <v>559</v>
      </c>
      <c r="J298" s="10"/>
      <c r="K298" s="11">
        <v>6</v>
      </c>
      <c r="L298" s="11">
        <v>36</v>
      </c>
      <c r="M298" s="11"/>
      <c r="N298" s="11"/>
      <c r="O298" s="11"/>
      <c r="P298" s="11"/>
      <c r="Q298" s="11">
        <v>6</v>
      </c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>
        <v>6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>
        <v>6</v>
      </c>
      <c r="AS298" s="11"/>
      <c r="AT298" s="11"/>
      <c r="AU298" s="11"/>
      <c r="AV298" s="20" t="str">
        <f>HYPERLINK("http://www.openstreetmap.org/?mlat=36.424&amp;mlon=42.035&amp;zoom=12#map=12/36.424/42.035","Maplink1")</f>
        <v>Maplink1</v>
      </c>
      <c r="AW298" s="20" t="str">
        <f>HYPERLINK("https://www.google.iq/maps/search/+36.424,42.035/@36.424,42.035,14z?hl=en","Maplink2")</f>
        <v>Maplink2</v>
      </c>
      <c r="AX298" s="20" t="str">
        <f>HYPERLINK("http://www.bing.com/maps/?lvl=14&amp;sty=h&amp;cp=36.424~42.035&amp;sp=point.36.424_42.035_Al Angaa","Maplink3")</f>
        <v>Maplink3</v>
      </c>
    </row>
    <row r="299" spans="1:50" x14ac:dyDescent="0.25">
      <c r="A299" s="9">
        <v>28447</v>
      </c>
      <c r="B299" s="10" t="s">
        <v>20</v>
      </c>
      <c r="C299" s="10" t="s">
        <v>556</v>
      </c>
      <c r="D299" s="10" t="s">
        <v>584</v>
      </c>
      <c r="E299" s="10" t="s">
        <v>585</v>
      </c>
      <c r="F299" s="10">
        <v>36.454672000000002</v>
      </c>
      <c r="G299" s="10">
        <v>41.859904</v>
      </c>
      <c r="H299" s="10" t="s">
        <v>551</v>
      </c>
      <c r="I299" s="10" t="s">
        <v>559</v>
      </c>
      <c r="J299" s="10"/>
      <c r="K299" s="11">
        <v>40</v>
      </c>
      <c r="L299" s="11">
        <v>240</v>
      </c>
      <c r="M299" s="11"/>
      <c r="N299" s="11"/>
      <c r="O299" s="11"/>
      <c r="P299" s="11"/>
      <c r="Q299" s="11">
        <v>40</v>
      </c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>
        <v>40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>
        <v>40</v>
      </c>
      <c r="AS299" s="11"/>
      <c r="AT299" s="11"/>
      <c r="AU299" s="11"/>
      <c r="AV299" s="20" t="str">
        <f>HYPERLINK("http://www.openstreetmap.org/?mlat=36.4547&amp;mlon=41.8599&amp;zoom=12#map=12/36.4547/41.8599","Maplink1")</f>
        <v>Maplink1</v>
      </c>
      <c r="AW299" s="20" t="str">
        <f>HYPERLINK("https://www.google.iq/maps/search/+36.4547,41.8599/@36.4547,41.8599,14z?hl=en","Maplink2")</f>
        <v>Maplink2</v>
      </c>
      <c r="AX299" s="20" t="str">
        <f>HYPERLINK("http://www.bing.com/maps/?lvl=14&amp;sty=h&amp;cp=36.4547~41.8599&amp;sp=point.36.4547_41.8599_Al Angaa","Maplink3")</f>
        <v>Maplink3</v>
      </c>
    </row>
    <row r="300" spans="1:50" x14ac:dyDescent="0.25">
      <c r="A300" s="9">
        <v>18048</v>
      </c>
      <c r="B300" s="10" t="s">
        <v>20</v>
      </c>
      <c r="C300" s="10" t="s">
        <v>556</v>
      </c>
      <c r="D300" s="10" t="s">
        <v>586</v>
      </c>
      <c r="E300" s="10" t="s">
        <v>587</v>
      </c>
      <c r="F300" s="10">
        <v>36.514341999999999</v>
      </c>
      <c r="G300" s="10">
        <v>41.962691999999997</v>
      </c>
      <c r="H300" s="10" t="s">
        <v>551</v>
      </c>
      <c r="I300" s="10" t="s">
        <v>559</v>
      </c>
      <c r="J300" s="10" t="s">
        <v>588</v>
      </c>
      <c r="K300" s="11">
        <v>245</v>
      </c>
      <c r="L300" s="11">
        <v>1470</v>
      </c>
      <c r="M300" s="11"/>
      <c r="N300" s="11"/>
      <c r="O300" s="11"/>
      <c r="P300" s="11"/>
      <c r="Q300" s="11">
        <v>245</v>
      </c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>
        <v>245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>
        <v>245</v>
      </c>
      <c r="AS300" s="11"/>
      <c r="AT300" s="11"/>
      <c r="AU300" s="11"/>
      <c r="AV300" s="20" t="str">
        <f>HYPERLINK("http://www.openstreetmap.org/?mlat=36.5143&amp;mlon=41.9627&amp;zoom=12#map=12/36.5143/41.9627","Maplink1")</f>
        <v>Maplink1</v>
      </c>
      <c r="AW300" s="20" t="str">
        <f>HYPERLINK("https://www.google.iq/maps/search/+36.5143,41.9627/@36.5143,41.9627,14z?hl=en","Maplink2")</f>
        <v>Maplink2</v>
      </c>
      <c r="AX300" s="20" t="str">
        <f>HYPERLINK("http://www.bing.com/maps/?lvl=14&amp;sty=h&amp;cp=36.5143~41.9627&amp;sp=point.36.5143_41.9627_Guhbal","Maplink3")</f>
        <v>Maplink3</v>
      </c>
    </row>
    <row r="301" spans="1:50" x14ac:dyDescent="0.25">
      <c r="A301" s="9">
        <v>27401</v>
      </c>
      <c r="B301" s="10" t="s">
        <v>20</v>
      </c>
      <c r="C301" s="10" t="s">
        <v>556</v>
      </c>
      <c r="D301" s="10" t="s">
        <v>589</v>
      </c>
      <c r="E301" s="10" t="s">
        <v>590</v>
      </c>
      <c r="F301" s="10">
        <v>36.380220999999999</v>
      </c>
      <c r="G301" s="10">
        <v>41.631154000000002</v>
      </c>
      <c r="H301" s="10" t="s">
        <v>551</v>
      </c>
      <c r="I301" s="10" t="s">
        <v>559</v>
      </c>
      <c r="J301" s="10"/>
      <c r="K301" s="11">
        <v>42</v>
      </c>
      <c r="L301" s="11">
        <v>252</v>
      </c>
      <c r="M301" s="11"/>
      <c r="N301" s="11"/>
      <c r="O301" s="11"/>
      <c r="P301" s="11"/>
      <c r="Q301" s="11">
        <v>42</v>
      </c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>
        <v>42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>
        <v>42</v>
      </c>
      <c r="AS301" s="11"/>
      <c r="AT301" s="11"/>
      <c r="AU301" s="11"/>
      <c r="AV301" s="20" t="str">
        <f>HYPERLINK("http://www.openstreetmap.org/?mlat=36.3802&amp;mlon=41.6312&amp;zoom=12#map=12/36.3802/41.6312","Maplink1")</f>
        <v>Maplink1</v>
      </c>
      <c r="AW301" s="20" t="str">
        <f>HYPERLINK("https://www.google.iq/maps/search/+36.3802,41.6312/@36.3802,41.6312,14z?hl=en","Maplink2")</f>
        <v>Maplink2</v>
      </c>
      <c r="AX301" s="20" t="str">
        <f>HYPERLINK("http://www.bing.com/maps/?lvl=14&amp;sty=h&amp;cp=36.3802~41.6312&amp;sp=point.36.3802_41.6312_Haliqye","Maplink3")</f>
        <v>Maplink3</v>
      </c>
    </row>
    <row r="302" spans="1:50" x14ac:dyDescent="0.25">
      <c r="A302" s="9">
        <v>22490</v>
      </c>
      <c r="B302" s="10" t="s">
        <v>20</v>
      </c>
      <c r="C302" s="10" t="s">
        <v>556</v>
      </c>
      <c r="D302" s="10" t="s">
        <v>591</v>
      </c>
      <c r="E302" s="10" t="s">
        <v>592</v>
      </c>
      <c r="F302" s="10">
        <v>36.314427999999999</v>
      </c>
      <c r="G302" s="10">
        <v>41.862008000000003</v>
      </c>
      <c r="H302" s="10" t="s">
        <v>551</v>
      </c>
      <c r="I302" s="10" t="s">
        <v>559</v>
      </c>
      <c r="J302" s="10" t="s">
        <v>593</v>
      </c>
      <c r="K302" s="11">
        <v>70</v>
      </c>
      <c r="L302" s="11">
        <v>420</v>
      </c>
      <c r="M302" s="11"/>
      <c r="N302" s="11"/>
      <c r="O302" s="11"/>
      <c r="P302" s="11"/>
      <c r="Q302" s="11">
        <v>70</v>
      </c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>
        <v>70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>
        <v>70</v>
      </c>
      <c r="AS302" s="11"/>
      <c r="AT302" s="11"/>
      <c r="AU302" s="11"/>
      <c r="AV302" s="20" t="str">
        <f>HYPERLINK("http://www.openstreetmap.org/?mlat=36.4748&amp;mlon=41.7458&amp;zoom=12#map=12/36.4748/41.7458","Maplink1")</f>
        <v>Maplink1</v>
      </c>
      <c r="AW302" s="20" t="str">
        <f>HYPERLINK("https://www.google.iq/maps/search/+36.4748,41.7458/@36.4748,41.7458,14z?hl=en","Maplink2")</f>
        <v>Maplink2</v>
      </c>
      <c r="AX302" s="20" t="str">
        <f>HYPERLINK("http://www.bing.com/maps/?lvl=14&amp;sty=h&amp;cp=36.4748~41.7458&amp;sp=point.36.4748_41.7458_Hay Al Naser","Maplink3")</f>
        <v>Maplink3</v>
      </c>
    </row>
    <row r="303" spans="1:50" x14ac:dyDescent="0.25">
      <c r="A303" s="9">
        <v>27288</v>
      </c>
      <c r="B303" s="10" t="s">
        <v>20</v>
      </c>
      <c r="C303" s="10" t="s">
        <v>556</v>
      </c>
      <c r="D303" s="10" t="s">
        <v>594</v>
      </c>
      <c r="E303" s="10" t="s">
        <v>595</v>
      </c>
      <c r="F303" s="10">
        <v>36.376655999999997</v>
      </c>
      <c r="G303" s="10">
        <v>41.686521999999997</v>
      </c>
      <c r="H303" s="10" t="s">
        <v>551</v>
      </c>
      <c r="I303" s="10" t="s">
        <v>559</v>
      </c>
      <c r="J303" s="10"/>
      <c r="K303" s="11">
        <v>110</v>
      </c>
      <c r="L303" s="11">
        <v>660</v>
      </c>
      <c r="M303" s="11"/>
      <c r="N303" s="11"/>
      <c r="O303" s="11"/>
      <c r="P303" s="11"/>
      <c r="Q303" s="11">
        <v>110</v>
      </c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>
        <v>110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>
        <v>110</v>
      </c>
      <c r="AS303" s="11"/>
      <c r="AT303" s="11"/>
      <c r="AU303" s="11"/>
      <c r="AV303" s="20" t="str">
        <f>HYPERLINK("http://www.openstreetmap.org/?mlat=36.3767&amp;mlon=41.6865&amp;zoom=12#map=12/36.3767/41.6865","Maplink1")</f>
        <v>Maplink1</v>
      </c>
      <c r="AW303" s="20" t="str">
        <f>HYPERLINK("https://www.google.iq/maps/search/+36.3767,41.6865/@36.3767,41.6865,14z?hl=en","Maplink2")</f>
        <v>Maplink2</v>
      </c>
      <c r="AX303" s="20" t="str">
        <f>HYPERLINK("http://www.bing.com/maps/?lvl=14&amp;sty=h&amp;cp=36.3767~41.6865&amp;sp=point.36.3767_41.6865_Karsi ","Maplink3")</f>
        <v>Maplink3</v>
      </c>
    </row>
    <row r="304" spans="1:50" x14ac:dyDescent="0.25">
      <c r="A304" s="9">
        <v>17845</v>
      </c>
      <c r="B304" s="10" t="s">
        <v>20</v>
      </c>
      <c r="C304" s="10" t="s">
        <v>556</v>
      </c>
      <c r="D304" s="10" t="s">
        <v>903</v>
      </c>
      <c r="E304" s="10" t="s">
        <v>1178</v>
      </c>
      <c r="F304" s="10">
        <v>36.491480000000003</v>
      </c>
      <c r="G304" s="10">
        <v>41.814396000000002</v>
      </c>
      <c r="H304" s="10" t="s">
        <v>551</v>
      </c>
      <c r="I304" s="10" t="s">
        <v>559</v>
      </c>
      <c r="J304" s="10" t="s">
        <v>596</v>
      </c>
      <c r="K304" s="11">
        <v>405</v>
      </c>
      <c r="L304" s="11">
        <v>2430</v>
      </c>
      <c r="M304" s="11"/>
      <c r="N304" s="11"/>
      <c r="O304" s="11"/>
      <c r="P304" s="11"/>
      <c r="Q304" s="11">
        <v>405</v>
      </c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>
        <v>405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>
        <v>405</v>
      </c>
      <c r="AS304" s="11"/>
      <c r="AT304" s="11"/>
      <c r="AU304" s="11"/>
      <c r="AV304" s="20" t="str">
        <f>HYPERLINK("http://www.openstreetmap.org/?mlat=36.4915&amp;mlon=41.8144&amp;zoom=12#map=12/36.4915/41.8144","Maplink1")</f>
        <v>Maplink1</v>
      </c>
      <c r="AW304" s="20" t="str">
        <f>HYPERLINK("https://www.google.iq/maps/search/+36.4915,41.8144/@36.4915,41.8144,14z?hl=en","Maplink2")</f>
        <v>Maplink2</v>
      </c>
      <c r="AX304" s="20" t="str">
        <f>HYPERLINK("http://www.bing.com/maps/?lvl=14&amp;sty=h&amp;cp=36.4915~41.8144&amp;sp=point.36.4915_41.8144_Khani sor ","Maplink3")</f>
        <v>Maplink3</v>
      </c>
    </row>
    <row r="305" spans="1:50" x14ac:dyDescent="0.25">
      <c r="A305" s="9">
        <v>27358</v>
      </c>
      <c r="B305" s="10" t="s">
        <v>20</v>
      </c>
      <c r="C305" s="10" t="s">
        <v>556</v>
      </c>
      <c r="D305" s="10" t="s">
        <v>597</v>
      </c>
      <c r="E305" s="10" t="s">
        <v>598</v>
      </c>
      <c r="F305" s="10">
        <v>36.369624999999999</v>
      </c>
      <c r="G305" s="10">
        <v>41.723678</v>
      </c>
      <c r="H305" s="10" t="s">
        <v>551</v>
      </c>
      <c r="I305" s="10" t="s">
        <v>559</v>
      </c>
      <c r="J305" s="10"/>
      <c r="K305" s="11">
        <v>140</v>
      </c>
      <c r="L305" s="11">
        <v>840</v>
      </c>
      <c r="M305" s="11"/>
      <c r="N305" s="11"/>
      <c r="O305" s="11"/>
      <c r="P305" s="11"/>
      <c r="Q305" s="11">
        <v>140</v>
      </c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>
        <v>140</v>
      </c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>
        <v>140</v>
      </c>
      <c r="AS305" s="11"/>
      <c r="AT305" s="11"/>
      <c r="AU305" s="11"/>
      <c r="AV305" s="20" t="str">
        <f>HYPERLINK("http://www.openstreetmap.org/?mlat=36.3696&amp;mlon=41.7237&amp;zoom=12#map=12/36.3696/41.7237","Maplink1")</f>
        <v>Maplink1</v>
      </c>
      <c r="AW305" s="20" t="str">
        <f>HYPERLINK("https://www.google.iq/maps/search/+36.3696,41.7237/@36.3696,41.7237,14z?hl=en","Maplink2")</f>
        <v>Maplink2</v>
      </c>
      <c r="AX305" s="20" t="str">
        <f>HYPERLINK("http://www.bing.com/maps/?lvl=14&amp;sty=h&amp;cp=36.3696~41.7237&amp;sp=point.36.3696_41.7237_Kolka","Maplink3")</f>
        <v>Maplink3</v>
      </c>
    </row>
    <row r="306" spans="1:50" x14ac:dyDescent="0.25">
      <c r="A306" s="9">
        <v>27364</v>
      </c>
      <c r="B306" s="10" t="s">
        <v>20</v>
      </c>
      <c r="C306" s="10" t="s">
        <v>556</v>
      </c>
      <c r="D306" s="10" t="s">
        <v>599</v>
      </c>
      <c r="E306" s="10" t="s">
        <v>600</v>
      </c>
      <c r="F306" s="10">
        <v>36.380712000000003</v>
      </c>
      <c r="G306" s="10">
        <v>41.714356000000002</v>
      </c>
      <c r="H306" s="10" t="s">
        <v>551</v>
      </c>
      <c r="I306" s="10" t="s">
        <v>559</v>
      </c>
      <c r="J306" s="10"/>
      <c r="K306" s="11">
        <v>24</v>
      </c>
      <c r="L306" s="11">
        <v>144</v>
      </c>
      <c r="M306" s="11"/>
      <c r="N306" s="11"/>
      <c r="O306" s="11"/>
      <c r="P306" s="11"/>
      <c r="Q306" s="11">
        <v>24</v>
      </c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>
        <v>24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24</v>
      </c>
      <c r="AS306" s="11"/>
      <c r="AT306" s="11"/>
      <c r="AU306" s="11"/>
      <c r="AV306" s="20" t="str">
        <f>HYPERLINK("http://www.openstreetmap.org/?mlat=36.3807&amp;mlon=41.7144&amp;zoom=12#map=12/36.3807/41.7144","Maplink1")</f>
        <v>Maplink1</v>
      </c>
      <c r="AW306" s="20" t="str">
        <f>HYPERLINK("https://www.google.iq/maps/search/+36.3807,41.7144/@36.3807,41.7144,14z?hl=en","Maplink2")</f>
        <v>Maplink2</v>
      </c>
      <c r="AX306" s="20" t="str">
        <f>HYPERLINK("http://www.bing.com/maps/?lvl=14&amp;sty=h&amp;cp=36.3807~41.7144&amp;sp=point.36.3807_41.7144_Melik","Maplink3")</f>
        <v>Maplink3</v>
      </c>
    </row>
    <row r="307" spans="1:50" x14ac:dyDescent="0.25">
      <c r="A307" s="9">
        <v>27397</v>
      </c>
      <c r="B307" s="10" t="s">
        <v>20</v>
      </c>
      <c r="C307" s="10" t="s">
        <v>556</v>
      </c>
      <c r="D307" s="10" t="s">
        <v>601</v>
      </c>
      <c r="E307" s="10" t="s">
        <v>602</v>
      </c>
      <c r="F307" s="10">
        <v>36.421399000000001</v>
      </c>
      <c r="G307" s="10">
        <v>41.90887</v>
      </c>
      <c r="H307" s="10" t="s">
        <v>551</v>
      </c>
      <c r="I307" s="10" t="s">
        <v>559</v>
      </c>
      <c r="J307" s="10"/>
      <c r="K307" s="11">
        <v>44</v>
      </c>
      <c r="L307" s="11">
        <v>264</v>
      </c>
      <c r="M307" s="11"/>
      <c r="N307" s="11"/>
      <c r="O307" s="11"/>
      <c r="P307" s="11"/>
      <c r="Q307" s="11">
        <v>44</v>
      </c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>
        <v>24</v>
      </c>
      <c r="AG307" s="11"/>
      <c r="AH307" s="11"/>
      <c r="AI307" s="11">
        <v>20</v>
      </c>
      <c r="AJ307" s="11"/>
      <c r="AK307" s="11"/>
      <c r="AL307" s="11"/>
      <c r="AM307" s="11"/>
      <c r="AN307" s="11"/>
      <c r="AO307" s="11"/>
      <c r="AP307" s="11"/>
      <c r="AQ307" s="11"/>
      <c r="AR307" s="11">
        <v>44</v>
      </c>
      <c r="AS307" s="11"/>
      <c r="AT307" s="11"/>
      <c r="AU307" s="11"/>
      <c r="AV307" s="20" t="str">
        <f>HYPERLINK("http://www.openstreetmap.org/?mlat=36.4214&amp;mlon=41.9089&amp;zoom=12#map=12/36.4214/41.9089","Maplink1")</f>
        <v>Maplink1</v>
      </c>
      <c r="AW307" s="20" t="str">
        <f>HYPERLINK("https://www.google.iq/maps/search/+36.4214,41.9089/@36.4214,41.9089,14z?hl=en","Maplink2")</f>
        <v>Maplink2</v>
      </c>
      <c r="AX307" s="20" t="str">
        <f>HYPERLINK("http://www.bing.com/maps/?lvl=14&amp;sty=h&amp;cp=36.4214~41.9089&amp;sp=point.36.4214_41.9089_Nakhsye","Maplink3")</f>
        <v>Maplink3</v>
      </c>
    </row>
    <row r="308" spans="1:50" x14ac:dyDescent="0.25">
      <c r="A308" s="9">
        <v>27363</v>
      </c>
      <c r="B308" s="10" t="s">
        <v>20</v>
      </c>
      <c r="C308" s="10" t="s">
        <v>556</v>
      </c>
      <c r="D308" s="10" t="s">
        <v>603</v>
      </c>
      <c r="E308" s="10" t="s">
        <v>604</v>
      </c>
      <c r="F308" s="10">
        <v>36.429828000000001</v>
      </c>
      <c r="G308" s="10">
        <v>41.929850000000002</v>
      </c>
      <c r="H308" s="10" t="s">
        <v>551</v>
      </c>
      <c r="I308" s="10" t="s">
        <v>559</v>
      </c>
      <c r="J308" s="10"/>
      <c r="K308" s="11">
        <v>55</v>
      </c>
      <c r="L308" s="11">
        <v>330</v>
      </c>
      <c r="M308" s="11"/>
      <c r="N308" s="11"/>
      <c r="O308" s="11"/>
      <c r="P308" s="11"/>
      <c r="Q308" s="11">
        <v>55</v>
      </c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>
        <v>40</v>
      </c>
      <c r="AG308" s="11"/>
      <c r="AH308" s="11"/>
      <c r="AI308" s="11">
        <v>10</v>
      </c>
      <c r="AJ308" s="11"/>
      <c r="AK308" s="11"/>
      <c r="AL308" s="11"/>
      <c r="AM308" s="11"/>
      <c r="AN308" s="11">
        <v>5</v>
      </c>
      <c r="AO308" s="11"/>
      <c r="AP308" s="11"/>
      <c r="AQ308" s="11"/>
      <c r="AR308" s="11">
        <v>55</v>
      </c>
      <c r="AS308" s="11"/>
      <c r="AT308" s="11"/>
      <c r="AU308" s="11"/>
      <c r="AV308" s="20" t="str">
        <f>HYPERLINK("http://www.openstreetmap.org/?mlat=36.4298&amp;mlon=41.9299&amp;zoom=12#map=12/36.4298/41.9299","Maplink1")</f>
        <v>Maplink1</v>
      </c>
      <c r="AW308" s="20" t="str">
        <f>HYPERLINK("https://www.google.iq/maps/search/+36.4298,41.9299/@36.4298,41.9299,14z?hl=en","Maplink2")</f>
        <v>Maplink2</v>
      </c>
      <c r="AX308" s="20" t="str">
        <f>HYPERLINK("http://www.bing.com/maps/?lvl=14&amp;sty=h&amp;cp=36.4298~41.9299&amp;sp=point.36.4298_41.9299_Osiva","Maplink3")</f>
        <v>Maplink3</v>
      </c>
    </row>
    <row r="309" spans="1:50" x14ac:dyDescent="0.25">
      <c r="A309" s="9">
        <v>17694</v>
      </c>
      <c r="B309" s="10" t="s">
        <v>20</v>
      </c>
      <c r="C309" s="10" t="s">
        <v>556</v>
      </c>
      <c r="D309" s="10" t="s">
        <v>605</v>
      </c>
      <c r="E309" s="10" t="s">
        <v>606</v>
      </c>
      <c r="F309" s="10">
        <v>36.446843999999999</v>
      </c>
      <c r="G309" s="10">
        <v>41.754300000000001</v>
      </c>
      <c r="H309" s="10" t="s">
        <v>551</v>
      </c>
      <c r="I309" s="10" t="s">
        <v>559</v>
      </c>
      <c r="J309" s="10" t="s">
        <v>607</v>
      </c>
      <c r="K309" s="11">
        <v>18</v>
      </c>
      <c r="L309" s="11">
        <v>108</v>
      </c>
      <c r="M309" s="11"/>
      <c r="N309" s="11"/>
      <c r="O309" s="11"/>
      <c r="P309" s="11"/>
      <c r="Q309" s="11">
        <v>18</v>
      </c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>
        <v>18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>
        <v>18</v>
      </c>
      <c r="AS309" s="11"/>
      <c r="AT309" s="11"/>
      <c r="AU309" s="11"/>
      <c r="AV309" s="20" t="str">
        <f>HYPERLINK("http://www.openstreetmap.org/?mlat=36.4468&amp;mlon=41.7543&amp;zoom=12#map=12/36.4468/41.7543","Maplink1")</f>
        <v>Maplink1</v>
      </c>
      <c r="AW309" s="20" t="str">
        <f>HYPERLINK("https://www.google.iq/maps/search/+36.4468,41.7543/@36.4468,41.7543,14z?hl=en","Maplink2")</f>
        <v>Maplink2</v>
      </c>
      <c r="AX309" s="20" t="str">
        <f>HYPERLINK("http://www.bing.com/maps/?lvl=14&amp;sty=h&amp;cp=36.4468~41.7543&amp;sp=point.36.4468_41.7543_Quwasi","Maplink3")</f>
        <v>Maplink3</v>
      </c>
    </row>
    <row r="310" spans="1:50" x14ac:dyDescent="0.25">
      <c r="A310" s="9">
        <v>27362</v>
      </c>
      <c r="B310" s="10" t="s">
        <v>20</v>
      </c>
      <c r="C310" s="10" t="s">
        <v>556</v>
      </c>
      <c r="D310" s="10" t="s">
        <v>608</v>
      </c>
      <c r="E310" s="10" t="s">
        <v>609</v>
      </c>
      <c r="F310" s="10">
        <v>36.394219999999997</v>
      </c>
      <c r="G310" s="10">
        <v>41.819961999999997</v>
      </c>
      <c r="H310" s="10" t="s">
        <v>551</v>
      </c>
      <c r="I310" s="10" t="s">
        <v>559</v>
      </c>
      <c r="J310" s="10"/>
      <c r="K310" s="11">
        <v>11</v>
      </c>
      <c r="L310" s="11">
        <v>66</v>
      </c>
      <c r="M310" s="11"/>
      <c r="N310" s="11"/>
      <c r="O310" s="11"/>
      <c r="P310" s="11"/>
      <c r="Q310" s="11">
        <v>11</v>
      </c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>
        <v>11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>
        <v>11</v>
      </c>
      <c r="AS310" s="11"/>
      <c r="AT310" s="11"/>
      <c r="AU310" s="11"/>
      <c r="AV310" s="20" t="str">
        <f>HYPERLINK("http://www.openstreetmap.org/?mlat=36.3942&amp;mlon=41.82&amp;zoom=12#map=12/36.3942/41.82","Maplink1")</f>
        <v>Maplink1</v>
      </c>
      <c r="AW310" s="20" t="str">
        <f>HYPERLINK("https://www.google.iq/maps/search/+36.3942,41.82/@36.3942,41.82,14z?hl=en","Maplink2")</f>
        <v>Maplink2</v>
      </c>
      <c r="AX310" s="20" t="str">
        <f>HYPERLINK("http://www.bing.com/maps/?lvl=14&amp;sty=h&amp;cp=36.3942~41.82&amp;sp=point.36.3942_41.82_Sardashty","Maplink3")</f>
        <v>Maplink3</v>
      </c>
    </row>
    <row r="311" spans="1:50" x14ac:dyDescent="0.25">
      <c r="A311" s="9">
        <v>27359</v>
      </c>
      <c r="B311" s="10" t="s">
        <v>20</v>
      </c>
      <c r="C311" s="10" t="s">
        <v>556</v>
      </c>
      <c r="D311" s="10" t="s">
        <v>610</v>
      </c>
      <c r="E311" s="10" t="s">
        <v>611</v>
      </c>
      <c r="F311" s="10">
        <v>36.377749999999999</v>
      </c>
      <c r="G311" s="10">
        <v>41.698332999999998</v>
      </c>
      <c r="H311" s="10" t="s">
        <v>551</v>
      </c>
      <c r="I311" s="10" t="s">
        <v>559</v>
      </c>
      <c r="J311" s="10"/>
      <c r="K311" s="11">
        <v>43</v>
      </c>
      <c r="L311" s="11">
        <v>258</v>
      </c>
      <c r="M311" s="11"/>
      <c r="N311" s="11"/>
      <c r="O311" s="11"/>
      <c r="P311" s="11"/>
      <c r="Q311" s="11">
        <v>43</v>
      </c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>
        <v>43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v>43</v>
      </c>
      <c r="AS311" s="11"/>
      <c r="AT311" s="11"/>
      <c r="AU311" s="11"/>
      <c r="AV311" s="20" t="str">
        <f>HYPERLINK("http://www.openstreetmap.org/?mlat=36.3777&amp;mlon=41.6983&amp;zoom=12#map=12/36.3777/41.6983","Maplink1")</f>
        <v>Maplink1</v>
      </c>
      <c r="AW311" s="20" t="str">
        <f>HYPERLINK("https://www.google.iq/maps/search/+36.3777,41.6983/@36.3777,41.6983,14z?hl=en","Maplink2")</f>
        <v>Maplink2</v>
      </c>
      <c r="AX311" s="20" t="str">
        <f>HYPERLINK("http://www.bing.com/maps/?lvl=14&amp;sty=h&amp;cp=36.3777~41.6983&amp;sp=point.36.3777_41.6983_Semi-Hester","Maplink3")</f>
        <v>Maplink3</v>
      </c>
    </row>
    <row r="312" spans="1:50" x14ac:dyDescent="0.25">
      <c r="A312" s="9">
        <v>27399</v>
      </c>
      <c r="B312" s="10" t="s">
        <v>20</v>
      </c>
      <c r="C312" s="10" t="s">
        <v>556</v>
      </c>
      <c r="D312" s="10" t="s">
        <v>612</v>
      </c>
      <c r="E312" s="10" t="s">
        <v>613</v>
      </c>
      <c r="F312" s="10">
        <v>36.428393</v>
      </c>
      <c r="G312" s="10">
        <v>41.869135</v>
      </c>
      <c r="H312" s="10" t="s">
        <v>551</v>
      </c>
      <c r="I312" s="10" t="s">
        <v>559</v>
      </c>
      <c r="J312" s="10"/>
      <c r="K312" s="11">
        <v>167</v>
      </c>
      <c r="L312" s="11">
        <v>1002</v>
      </c>
      <c r="M312" s="11"/>
      <c r="N312" s="11"/>
      <c r="O312" s="11"/>
      <c r="P312" s="11"/>
      <c r="Q312" s="11">
        <v>167</v>
      </c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>
        <v>167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>
        <v>167</v>
      </c>
      <c r="AS312" s="11"/>
      <c r="AT312" s="11"/>
      <c r="AU312" s="11"/>
      <c r="AV312" s="20" t="str">
        <f>HYPERLINK("http://www.openstreetmap.org/?mlat=36.4284&amp;mlon=41.8691&amp;zoom=12#map=12/36.4284/41.8691","Maplink1")</f>
        <v>Maplink1</v>
      </c>
      <c r="AW312" s="20" t="str">
        <f>HYPERLINK("https://www.google.iq/maps/search/+36.4284,41.8691/@36.4284,41.8691,14z?hl=en","Maplink2")</f>
        <v>Maplink2</v>
      </c>
      <c r="AX312" s="20" t="str">
        <f>HYPERLINK("http://www.bing.com/maps/?lvl=14&amp;sty=h&amp;cp=36.4284~41.8691&amp;sp=point.36.4284_41.8691_Sharaf Alddin","Maplink3")</f>
        <v>Maplink3</v>
      </c>
    </row>
    <row r="313" spans="1:50" x14ac:dyDescent="0.25">
      <c r="A313" s="9">
        <v>27400</v>
      </c>
      <c r="B313" s="10" t="s">
        <v>20</v>
      </c>
      <c r="C313" s="10" t="s">
        <v>556</v>
      </c>
      <c r="D313" s="10" t="s">
        <v>614</v>
      </c>
      <c r="E313" s="10" t="s">
        <v>615</v>
      </c>
      <c r="F313" s="10">
        <v>36.380782000000004</v>
      </c>
      <c r="G313" s="10">
        <v>41.713853999999998</v>
      </c>
      <c r="H313" s="10" t="s">
        <v>551</v>
      </c>
      <c r="I313" s="10" t="s">
        <v>559</v>
      </c>
      <c r="J313" s="10"/>
      <c r="K313" s="11">
        <v>18</v>
      </c>
      <c r="L313" s="11">
        <v>108</v>
      </c>
      <c r="M313" s="11"/>
      <c r="N313" s="11"/>
      <c r="O313" s="11"/>
      <c r="P313" s="11"/>
      <c r="Q313" s="11">
        <v>18</v>
      </c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>
        <v>18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>
        <v>18</v>
      </c>
      <c r="AS313" s="11"/>
      <c r="AT313" s="11"/>
      <c r="AU313" s="11"/>
      <c r="AV313" s="20" t="str">
        <f>HYPERLINK("http://www.openstreetmap.org/?mlat=36.3808&amp;mlon=41.7139&amp;zoom=12#map=12/36.3808/41.7139","Maplink1")</f>
        <v>Maplink1</v>
      </c>
      <c r="AW313" s="20" t="str">
        <f>HYPERLINK("https://www.google.iq/maps/search/+36.3808,41.7139/@36.3808,41.7139,14z?hl=en","Maplink2")</f>
        <v>Maplink2</v>
      </c>
      <c r="AX313" s="20" t="str">
        <f>HYPERLINK("http://www.bing.com/maps/?lvl=14&amp;sty=h&amp;cp=36.3808~41.7139&amp;sp=point.36.3808_41.7139_Shyebl Qasim","Maplink3")</f>
        <v>Maplink3</v>
      </c>
    </row>
    <row r="314" spans="1:50" x14ac:dyDescent="0.25">
      <c r="A314" s="9">
        <v>17928</v>
      </c>
      <c r="B314" s="10" t="s">
        <v>20</v>
      </c>
      <c r="C314" s="10" t="s">
        <v>556</v>
      </c>
      <c r="D314" s="10" t="s">
        <v>616</v>
      </c>
      <c r="E314" s="10" t="s">
        <v>617</v>
      </c>
      <c r="F314" s="10">
        <v>36.467568999999997</v>
      </c>
      <c r="G314" s="10">
        <v>41.708775000000003</v>
      </c>
      <c r="H314" s="10" t="s">
        <v>551</v>
      </c>
      <c r="I314" s="10" t="s">
        <v>559</v>
      </c>
      <c r="J314" s="10" t="s">
        <v>618</v>
      </c>
      <c r="K314" s="11">
        <v>689</v>
      </c>
      <c r="L314" s="11">
        <v>4134</v>
      </c>
      <c r="M314" s="11"/>
      <c r="N314" s="11"/>
      <c r="O314" s="11"/>
      <c r="P314" s="11"/>
      <c r="Q314" s="11">
        <v>689</v>
      </c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>
        <v>689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>
        <v>689</v>
      </c>
      <c r="AS314" s="11"/>
      <c r="AT314" s="11"/>
      <c r="AU314" s="11"/>
      <c r="AV314" s="20" t="str">
        <f>HYPERLINK("http://www.openstreetmap.org/?mlat=36.4676&amp;mlon=41.7088&amp;zoom=12#map=12/36.4676/41.7088","Maplink1")</f>
        <v>Maplink1</v>
      </c>
      <c r="AW314" s="20" t="str">
        <f>HYPERLINK("https://www.google.iq/maps/search/+36.4676,41.7088/@36.4676,41.7088,14z?hl=en","Maplink2")</f>
        <v>Maplink2</v>
      </c>
      <c r="AX314" s="20" t="str">
        <f>HYPERLINK("http://www.bing.com/maps/?lvl=14&amp;sty=h&amp;cp=36.4676~41.7088&amp;sp=point.36.4676_41.7088_Sinuni center","Maplink3")</f>
        <v>Maplink3</v>
      </c>
    </row>
    <row r="315" spans="1:50" x14ac:dyDescent="0.25">
      <c r="A315" s="9">
        <v>28448</v>
      </c>
      <c r="B315" s="10" t="s">
        <v>20</v>
      </c>
      <c r="C315" s="10" t="s">
        <v>556</v>
      </c>
      <c r="D315" s="10" t="s">
        <v>619</v>
      </c>
      <c r="E315" s="10" t="s">
        <v>620</v>
      </c>
      <c r="F315" s="10">
        <v>36.421311000000003</v>
      </c>
      <c r="G315" s="10">
        <v>41.865864000000002</v>
      </c>
      <c r="H315" s="10" t="s">
        <v>551</v>
      </c>
      <c r="I315" s="10" t="s">
        <v>559</v>
      </c>
      <c r="J315" s="10"/>
      <c r="K315" s="11">
        <v>46</v>
      </c>
      <c r="L315" s="11">
        <v>276</v>
      </c>
      <c r="M315" s="11"/>
      <c r="N315" s="11"/>
      <c r="O315" s="11"/>
      <c r="P315" s="11"/>
      <c r="Q315" s="11">
        <v>46</v>
      </c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>
        <v>46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>
        <v>46</v>
      </c>
      <c r="AS315" s="11"/>
      <c r="AT315" s="11"/>
      <c r="AU315" s="11"/>
      <c r="AV315" s="20" t="str">
        <f>HYPERLINK("http://www.openstreetmap.org/?mlat=36.4213&amp;mlon=41.8659&amp;zoom=12#map=12/36.4213/41.8659","Maplink1")</f>
        <v>Maplink1</v>
      </c>
      <c r="AW315" s="20" t="str">
        <f>HYPERLINK("https://www.google.iq/maps/search/+36.4213,41.8659/@36.4213,41.8659,14z?hl=en","Maplink2")</f>
        <v>Maplink2</v>
      </c>
      <c r="AX315" s="20" t="str">
        <f>HYPERLINK("http://www.bing.com/maps/?lvl=14&amp;sty=h&amp;cp=36.4213~41.8659&amp;sp=point.36.4213_41.8659_Al Angaa","Maplink3")</f>
        <v>Maplink3</v>
      </c>
    </row>
    <row r="316" spans="1:50" x14ac:dyDescent="0.25">
      <c r="A316" s="9">
        <v>27361</v>
      </c>
      <c r="B316" s="10" t="s">
        <v>20</v>
      </c>
      <c r="C316" s="10" t="s">
        <v>556</v>
      </c>
      <c r="D316" s="10" t="s">
        <v>621</v>
      </c>
      <c r="E316" s="10" t="s">
        <v>622</v>
      </c>
      <c r="F316" s="10">
        <v>36.397239999999996</v>
      </c>
      <c r="G316" s="10">
        <v>41.797674000000001</v>
      </c>
      <c r="H316" s="10" t="s">
        <v>551</v>
      </c>
      <c r="I316" s="10" t="s">
        <v>559</v>
      </c>
      <c r="J316" s="10"/>
      <c r="K316" s="11">
        <v>1</v>
      </c>
      <c r="L316" s="11">
        <v>6</v>
      </c>
      <c r="M316" s="11"/>
      <c r="N316" s="11"/>
      <c r="O316" s="11"/>
      <c r="P316" s="11"/>
      <c r="Q316" s="11">
        <v>1</v>
      </c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>
        <v>1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>
        <v>1</v>
      </c>
      <c r="AS316" s="11"/>
      <c r="AT316" s="11"/>
      <c r="AU316" s="11"/>
      <c r="AV316" s="20" t="str">
        <f>HYPERLINK("http://www.openstreetmap.org/?mlat=36.3972&amp;mlon=41.7977&amp;zoom=12#map=12/36.3972/41.7977","Maplink1")</f>
        <v>Maplink1</v>
      </c>
      <c r="AW316" s="20" t="str">
        <f>HYPERLINK("https://www.google.iq/maps/search/+36.3972,41.7977/@36.3972,41.7977,14z?hl=en","Maplink2")</f>
        <v>Maplink2</v>
      </c>
      <c r="AX316" s="20" t="str">
        <f>HYPERLINK("http://www.bing.com/maps/?lvl=14&amp;sty=h&amp;cp=36.3972~41.7977&amp;sp=point.36.3972_41.7977_Wary Bahdo","Maplink3")</f>
        <v>Maplink3</v>
      </c>
    </row>
    <row r="317" spans="1:50" x14ac:dyDescent="0.25">
      <c r="A317" s="9">
        <v>27287</v>
      </c>
      <c r="B317" s="10" t="s">
        <v>20</v>
      </c>
      <c r="C317" s="10" t="s">
        <v>556</v>
      </c>
      <c r="D317" s="10" t="s">
        <v>998</v>
      </c>
      <c r="E317" s="10" t="s">
        <v>1179</v>
      </c>
      <c r="F317" s="10">
        <v>36.477305999999999</v>
      </c>
      <c r="G317" s="10">
        <v>42.017657999999997</v>
      </c>
      <c r="H317" s="10" t="s">
        <v>551</v>
      </c>
      <c r="I317" s="10" t="s">
        <v>559</v>
      </c>
      <c r="J317" s="10"/>
      <c r="K317" s="11">
        <v>198</v>
      </c>
      <c r="L317" s="11">
        <v>1188</v>
      </c>
      <c r="M317" s="11"/>
      <c r="N317" s="11"/>
      <c r="O317" s="11"/>
      <c r="P317" s="11"/>
      <c r="Q317" s="11">
        <v>198</v>
      </c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v>198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>
        <v>198</v>
      </c>
      <c r="AS317" s="11"/>
      <c r="AT317" s="11"/>
      <c r="AU317" s="11"/>
      <c r="AV317" s="20" t="str">
        <f>HYPERLINK("http://www.openstreetmap.org/?mlat=36.4773&amp;mlon=42.0177&amp;zoom=12#map=12/36.4773/42.0177","Maplink1")</f>
        <v>Maplink1</v>
      </c>
      <c r="AW317" s="20" t="str">
        <f>HYPERLINK("https://www.google.iq/maps/search/+36.4773,42.0177/@36.4773,42.0177,14z?hl=en","Maplink2")</f>
        <v>Maplink2</v>
      </c>
      <c r="AX317" s="20" t="str">
        <f>HYPERLINK("http://www.bing.com/maps/?lvl=14&amp;sty=h&amp;cp=36.4773~42.0177&amp;sp=point.36.4773_42.0177_Zorava and pikre","Maplink3")</f>
        <v>Maplink3</v>
      </c>
    </row>
    <row r="318" spans="1:50" x14ac:dyDescent="0.25">
      <c r="A318" s="9">
        <v>17645</v>
      </c>
      <c r="B318" s="10" t="s">
        <v>20</v>
      </c>
      <c r="C318" s="10" t="s">
        <v>623</v>
      </c>
      <c r="D318" s="10" t="s">
        <v>631</v>
      </c>
      <c r="E318" s="10" t="s">
        <v>1180</v>
      </c>
      <c r="F318" s="10">
        <v>36.71</v>
      </c>
      <c r="G318" s="10">
        <v>42.02</v>
      </c>
      <c r="H318" s="10" t="s">
        <v>551</v>
      </c>
      <c r="I318" s="10" t="s">
        <v>625</v>
      </c>
      <c r="J318" s="10" t="s">
        <v>632</v>
      </c>
      <c r="K318" s="11">
        <v>90</v>
      </c>
      <c r="L318" s="11">
        <v>540</v>
      </c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>
        <v>90</v>
      </c>
      <c r="Z318" s="11"/>
      <c r="AA318" s="11"/>
      <c r="AB318" s="11"/>
      <c r="AC318" s="11"/>
      <c r="AD318" s="11"/>
      <c r="AE318" s="11"/>
      <c r="AF318" s="11">
        <v>90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>
        <v>90</v>
      </c>
      <c r="AS318" s="11"/>
      <c r="AT318" s="11"/>
      <c r="AU318" s="11"/>
      <c r="AV318" s="20" t="str">
        <f>HYPERLINK("http://www.openstreetmap.org/?mlat=36.71&amp;mlon=42.02&amp;zoom=12#map=12/36.71/42.02","Maplink1")</f>
        <v>Maplink1</v>
      </c>
      <c r="AW318" s="20" t="str">
        <f>HYPERLINK("https://www.google.iq/maps/search/+36.71,42.02/@36.71,42.02,14z?hl=en","Maplink2")</f>
        <v>Maplink2</v>
      </c>
      <c r="AX318" s="20" t="str">
        <f>HYPERLINK("http://www.bing.com/maps/?lvl=14&amp;sty=h&amp;cp=36.71~42.02&amp;sp=point.36.71_42.02_Abtakh","Maplink3")</f>
        <v>Maplink3</v>
      </c>
    </row>
    <row r="319" spans="1:50" x14ac:dyDescent="0.25">
      <c r="A319" s="9">
        <v>18262</v>
      </c>
      <c r="B319" s="10" t="s">
        <v>20</v>
      </c>
      <c r="C319" s="10" t="s">
        <v>623</v>
      </c>
      <c r="D319" s="10" t="s">
        <v>633</v>
      </c>
      <c r="E319" s="10" t="s">
        <v>634</v>
      </c>
      <c r="F319" s="10">
        <v>36.745064999999997</v>
      </c>
      <c r="G319" s="10">
        <v>42.202821</v>
      </c>
      <c r="H319" s="10" t="s">
        <v>551</v>
      </c>
      <c r="I319" s="10" t="s">
        <v>625</v>
      </c>
      <c r="J319" s="10" t="s">
        <v>635</v>
      </c>
      <c r="K319" s="11">
        <v>366</v>
      </c>
      <c r="L319" s="11">
        <v>2196</v>
      </c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>
        <v>366</v>
      </c>
      <c r="Z319" s="11"/>
      <c r="AA319" s="11"/>
      <c r="AB319" s="11"/>
      <c r="AC319" s="11"/>
      <c r="AD319" s="11"/>
      <c r="AE319" s="11"/>
      <c r="AF319" s="11">
        <v>366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>
        <v>366</v>
      </c>
      <c r="AS319" s="11"/>
      <c r="AT319" s="11"/>
      <c r="AU319" s="11"/>
      <c r="AV319" s="20" t="str">
        <f>HYPERLINK("http://www.openstreetmap.org/?mlat=36.7451&amp;mlon=42.2028&amp;zoom=12#map=12/36.7451/42.2028","Maplink1")</f>
        <v>Maplink1</v>
      </c>
      <c r="AW319" s="20" t="str">
        <f>HYPERLINK("https://www.google.iq/maps/search/+36.7451,42.2028/@36.7451,42.2028,14z?hl=en","Maplink2")</f>
        <v>Maplink2</v>
      </c>
      <c r="AX319" s="20" t="str">
        <f>HYPERLINK("http://www.bing.com/maps/?lvl=14&amp;sty=h&amp;cp=36.7451~42.2028&amp;sp=point.36.7451_42.2028_abu khushub","Maplink3")</f>
        <v>Maplink3</v>
      </c>
    </row>
    <row r="320" spans="1:50" x14ac:dyDescent="0.25">
      <c r="A320" s="9">
        <v>17746</v>
      </c>
      <c r="B320" s="10" t="s">
        <v>20</v>
      </c>
      <c r="C320" s="10" t="s">
        <v>623</v>
      </c>
      <c r="D320" s="10" t="s">
        <v>904</v>
      </c>
      <c r="E320" s="10" t="s">
        <v>636</v>
      </c>
      <c r="F320" s="10">
        <v>36.6</v>
      </c>
      <c r="G320" s="10">
        <v>42.62</v>
      </c>
      <c r="H320" s="10" t="s">
        <v>551</v>
      </c>
      <c r="I320" s="10" t="s">
        <v>625</v>
      </c>
      <c r="J320" s="10" t="s">
        <v>637</v>
      </c>
      <c r="K320" s="11">
        <v>208</v>
      </c>
      <c r="L320" s="11">
        <v>1248</v>
      </c>
      <c r="M320" s="11"/>
      <c r="N320" s="11"/>
      <c r="O320" s="11"/>
      <c r="P320" s="11"/>
      <c r="Q320" s="11">
        <v>180</v>
      </c>
      <c r="R320" s="11"/>
      <c r="S320" s="11">
        <v>18</v>
      </c>
      <c r="T320" s="11"/>
      <c r="U320" s="11"/>
      <c r="V320" s="11"/>
      <c r="W320" s="11"/>
      <c r="X320" s="11"/>
      <c r="Y320" s="11"/>
      <c r="Z320" s="11"/>
      <c r="AA320" s="11"/>
      <c r="AB320" s="11">
        <v>10</v>
      </c>
      <c r="AC320" s="11"/>
      <c r="AD320" s="11"/>
      <c r="AE320" s="11"/>
      <c r="AF320" s="11">
        <v>186</v>
      </c>
      <c r="AG320" s="11">
        <v>22</v>
      </c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>
        <v>208</v>
      </c>
      <c r="AS320" s="11"/>
      <c r="AT320" s="11"/>
      <c r="AU320" s="11"/>
      <c r="AV320" s="20" t="str">
        <f>HYPERLINK("http://www.openstreetmap.org/?mlat=36.6&amp;mlon=42.62&amp;zoom=12#map=12/36.6/42.62","Maplink1")</f>
        <v>Maplink1</v>
      </c>
      <c r="AW320" s="20" t="str">
        <f>HYPERLINK("https://www.google.iq/maps/search/+36.6,42.62/@36.6,42.62,14z?hl=en","Maplink2")</f>
        <v>Maplink2</v>
      </c>
      <c r="AX320" s="20" t="str">
        <f>HYPERLINK("http://www.bing.com/maps/?lvl=14&amp;sty=h&amp;cp=36.6~42.62&amp;sp=point.36.6_42.62_Ain hilwa upper village","Maplink3")</f>
        <v>Maplink3</v>
      </c>
    </row>
    <row r="321" spans="1:50" x14ac:dyDescent="0.25">
      <c r="A321" s="9">
        <v>22446</v>
      </c>
      <c r="B321" s="10" t="s">
        <v>20</v>
      </c>
      <c r="C321" s="10" t="s">
        <v>623</v>
      </c>
      <c r="D321" s="10" t="s">
        <v>999</v>
      </c>
      <c r="E321" s="10" t="s">
        <v>684</v>
      </c>
      <c r="F321" s="10">
        <v>36.609481000000002</v>
      </c>
      <c r="G321" s="10">
        <v>42.573766999999997</v>
      </c>
      <c r="H321" s="10" t="s">
        <v>551</v>
      </c>
      <c r="I321" s="10" t="s">
        <v>625</v>
      </c>
      <c r="J321" s="10" t="s">
        <v>685</v>
      </c>
      <c r="K321" s="11">
        <v>372</v>
      </c>
      <c r="L321" s="11">
        <v>2232</v>
      </c>
      <c r="M321" s="11"/>
      <c r="N321" s="11"/>
      <c r="O321" s="11"/>
      <c r="P321" s="11"/>
      <c r="Q321" s="11">
        <v>372</v>
      </c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>
        <v>352</v>
      </c>
      <c r="AG321" s="11">
        <v>20</v>
      </c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v>372</v>
      </c>
      <c r="AS321" s="11"/>
      <c r="AT321" s="11"/>
      <c r="AU321" s="11"/>
      <c r="AV321" s="20" t="str">
        <f>HYPERLINK("http://www.openstreetmap.org/?mlat=36.6095&amp;mlon=42.5738&amp;zoom=12#map=12/36.6095/42.5738","Maplink1")</f>
        <v>Maplink1</v>
      </c>
      <c r="AW321" s="20" t="str">
        <f>HYPERLINK("https://www.google.iq/maps/search/+36.6095,42.5738/@36.6095,42.5738,14z?hl=en","Maplink2")</f>
        <v>Maplink2</v>
      </c>
      <c r="AX321" s="20" t="str">
        <f>HYPERLINK("http://www.bing.com/maps/?lvl=14&amp;sty=h&amp;cp=36.6095~42.5738&amp;sp=point.36.6095_42.5738_Mafri village","Maplink3")</f>
        <v>Maplink3</v>
      </c>
    </row>
    <row r="322" spans="1:50" x14ac:dyDescent="0.25">
      <c r="A322" s="9">
        <v>17762</v>
      </c>
      <c r="B322" s="10" t="s">
        <v>20</v>
      </c>
      <c r="C322" s="10" t="s">
        <v>623</v>
      </c>
      <c r="D322" s="10" t="s">
        <v>638</v>
      </c>
      <c r="E322" s="10" t="s">
        <v>639</v>
      </c>
      <c r="F322" s="10">
        <v>36.804526000000003</v>
      </c>
      <c r="G322" s="10">
        <v>42.460934000000002</v>
      </c>
      <c r="H322" s="10" t="s">
        <v>551</v>
      </c>
      <c r="I322" s="10" t="s">
        <v>625</v>
      </c>
      <c r="J322" s="10" t="s">
        <v>640</v>
      </c>
      <c r="K322" s="11">
        <v>490</v>
      </c>
      <c r="L322" s="11">
        <v>2940</v>
      </c>
      <c r="M322" s="11"/>
      <c r="N322" s="11"/>
      <c r="O322" s="11"/>
      <c r="P322" s="11"/>
      <c r="Q322" s="11">
        <v>490</v>
      </c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>
        <v>490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>
        <v>490</v>
      </c>
      <c r="AS322" s="11"/>
      <c r="AT322" s="11"/>
      <c r="AU322" s="11"/>
      <c r="AV322" s="20" t="str">
        <f>HYPERLINK("http://www.openstreetmap.org/?mlat=36.8045&amp;mlon=42.4609&amp;zoom=12#map=12/36.8045/42.4609","Maplink1")</f>
        <v>Maplink1</v>
      </c>
      <c r="AW322" s="20" t="str">
        <f>HYPERLINK("https://www.google.iq/maps/search/+36.8045,42.4609/@36.8045,42.4609,14z?hl=en","Maplink2")</f>
        <v>Maplink2</v>
      </c>
      <c r="AX322" s="20" t="str">
        <f>HYPERLINK("http://www.bing.com/maps/?lvl=14&amp;sty=h&amp;cp=36.8045~42.4609&amp;sp=point.36.8045_42.4609_Bardih complex","Maplink3")</f>
        <v>Maplink3</v>
      </c>
    </row>
    <row r="323" spans="1:50" x14ac:dyDescent="0.25">
      <c r="A323" s="9">
        <v>27354</v>
      </c>
      <c r="B323" s="10" t="s">
        <v>20</v>
      </c>
      <c r="C323" s="10" t="s">
        <v>623</v>
      </c>
      <c r="D323" s="10" t="s">
        <v>642</v>
      </c>
      <c r="E323" s="10" t="s">
        <v>643</v>
      </c>
      <c r="F323" s="10">
        <v>36.843490000000003</v>
      </c>
      <c r="G323" s="10">
        <v>42.382295999999997</v>
      </c>
      <c r="H323" s="10" t="s">
        <v>551</v>
      </c>
      <c r="I323" s="10" t="s">
        <v>625</v>
      </c>
      <c r="J323" s="10"/>
      <c r="K323" s="11">
        <v>124</v>
      </c>
      <c r="L323" s="11">
        <v>744</v>
      </c>
      <c r="M323" s="11"/>
      <c r="N323" s="11"/>
      <c r="O323" s="11"/>
      <c r="P323" s="11"/>
      <c r="Q323" s="11">
        <v>124</v>
      </c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>
        <v>124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124</v>
      </c>
      <c r="AS323" s="11"/>
      <c r="AT323" s="11"/>
      <c r="AU323" s="11"/>
      <c r="AV323" s="20" t="str">
        <f>HYPERLINK("http://www.openstreetmap.org/?mlat=36.8435&amp;mlon=42.3823&amp;zoom=12#map=12/36.8435/42.3823","Maplink1")</f>
        <v>Maplink1</v>
      </c>
      <c r="AW323" s="20" t="str">
        <f>HYPERLINK("https://www.google.iq/maps/search/+36.8435,42.3823/@36.8435,42.3823,14z?hl=en","Maplink2")</f>
        <v>Maplink2</v>
      </c>
      <c r="AX323" s="20" t="str">
        <f>HYPERLINK("http://www.bing.com/maps/?lvl=14&amp;sty=h&amp;cp=36.8435~42.3823&amp;sp=point.36.8435_42.3823_Eayan eaways Village","Maplink3")</f>
        <v>Maplink3</v>
      </c>
    </row>
    <row r="324" spans="1:50" x14ac:dyDescent="0.25">
      <c r="A324" s="9">
        <v>24906</v>
      </c>
      <c r="B324" s="10" t="s">
        <v>20</v>
      </c>
      <c r="C324" s="10" t="s">
        <v>623</v>
      </c>
      <c r="D324" s="10" t="s">
        <v>644</v>
      </c>
      <c r="E324" s="10" t="s">
        <v>645</v>
      </c>
      <c r="F324" s="10">
        <v>36.603329000000002</v>
      </c>
      <c r="G324" s="10">
        <v>42.623331999999998</v>
      </c>
      <c r="H324" s="10" t="s">
        <v>551</v>
      </c>
      <c r="I324" s="10" t="s">
        <v>625</v>
      </c>
      <c r="J324" s="10"/>
      <c r="K324" s="11">
        <v>115</v>
      </c>
      <c r="L324" s="11">
        <v>690</v>
      </c>
      <c r="M324" s="11"/>
      <c r="N324" s="11"/>
      <c r="O324" s="11"/>
      <c r="P324" s="11"/>
      <c r="Q324" s="11">
        <v>110</v>
      </c>
      <c r="R324" s="11"/>
      <c r="S324" s="11"/>
      <c r="T324" s="11"/>
      <c r="U324" s="11"/>
      <c r="V324" s="11"/>
      <c r="W324" s="11"/>
      <c r="X324" s="11"/>
      <c r="Y324" s="11">
        <v>5</v>
      </c>
      <c r="Z324" s="11"/>
      <c r="AA324" s="11"/>
      <c r="AB324" s="11"/>
      <c r="AC324" s="11"/>
      <c r="AD324" s="11"/>
      <c r="AE324" s="11"/>
      <c r="AF324" s="11">
        <v>111</v>
      </c>
      <c r="AG324" s="11">
        <v>4</v>
      </c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v>115</v>
      </c>
      <c r="AS324" s="11"/>
      <c r="AT324" s="11"/>
      <c r="AU324" s="11"/>
      <c r="AV324" s="20" t="str">
        <f>HYPERLINK("http://www.openstreetmap.org/?mlat=36.6033&amp;mlon=42.6233&amp;zoom=12#map=12/36.6033/42.6233","Maplink1")</f>
        <v>Maplink1</v>
      </c>
      <c r="AW324" s="20" t="str">
        <f>HYPERLINK("https://www.google.iq/maps/search/+36.6033,42.6233/@36.6033,42.6233,14z?hl=en","Maplink2")</f>
        <v>Maplink2</v>
      </c>
      <c r="AX324" s="20" t="str">
        <f>HYPERLINK("http://www.bing.com/maps/?lvl=14&amp;sty=h&amp;cp=36.6033~42.6233&amp;sp=point.36.6033_42.6233_Ein Alhilwa","Maplink3")</f>
        <v>Maplink3</v>
      </c>
    </row>
    <row r="325" spans="1:50" x14ac:dyDescent="0.25">
      <c r="A325" s="9">
        <v>25690</v>
      </c>
      <c r="B325" s="10" t="s">
        <v>20</v>
      </c>
      <c r="C325" s="10" t="s">
        <v>623</v>
      </c>
      <c r="D325" s="10" t="s">
        <v>1000</v>
      </c>
      <c r="E325" s="10" t="s">
        <v>646</v>
      </c>
      <c r="F325" s="10">
        <v>36.684989999999999</v>
      </c>
      <c r="G325" s="10">
        <v>42.596411000000003</v>
      </c>
      <c r="H325" s="10" t="s">
        <v>551</v>
      </c>
      <c r="I325" s="10" t="s">
        <v>625</v>
      </c>
      <c r="J325" s="10"/>
      <c r="K325" s="11">
        <v>100</v>
      </c>
      <c r="L325" s="11">
        <v>600</v>
      </c>
      <c r="M325" s="11"/>
      <c r="N325" s="11"/>
      <c r="O325" s="11"/>
      <c r="P325" s="11"/>
      <c r="Q325" s="11">
        <v>100</v>
      </c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>
        <v>100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v>100</v>
      </c>
      <c r="AS325" s="11"/>
      <c r="AT325" s="11"/>
      <c r="AU325" s="11"/>
      <c r="AV325" s="20" t="str">
        <f>HYPERLINK("http://www.openstreetmap.org/?mlat=36.685&amp;mlon=42.5964&amp;zoom=12#map=12/36.685/42.5964","Maplink1")</f>
        <v>Maplink1</v>
      </c>
      <c r="AW325" s="20" t="str">
        <f>HYPERLINK("https://www.google.iq/maps/search/+36.685,42.5964/@36.685,42.5964,14z?hl=en","Maplink2")</f>
        <v>Maplink2</v>
      </c>
      <c r="AX325" s="20" t="str">
        <f>HYPERLINK("http://www.bing.com/maps/?lvl=14&amp;sty=h&amp;cp=36.685~42.5964&amp;sp=point.36.685_42.5964_Ein Jahesheya village","Maplink3")</f>
        <v>Maplink3</v>
      </c>
    </row>
    <row r="326" spans="1:50" x14ac:dyDescent="0.25">
      <c r="A326" s="9">
        <v>17621</v>
      </c>
      <c r="B326" s="10" t="s">
        <v>20</v>
      </c>
      <c r="C326" s="10" t="s">
        <v>623</v>
      </c>
      <c r="D326" s="10" t="s">
        <v>647</v>
      </c>
      <c r="E326" s="10" t="s">
        <v>648</v>
      </c>
      <c r="F326" s="10">
        <v>36.583108000000003</v>
      </c>
      <c r="G326" s="10">
        <v>42.485672999999998</v>
      </c>
      <c r="H326" s="10" t="s">
        <v>551</v>
      </c>
      <c r="I326" s="10" t="s">
        <v>625</v>
      </c>
      <c r="J326" s="10" t="s">
        <v>649</v>
      </c>
      <c r="K326" s="11">
        <v>130</v>
      </c>
      <c r="L326" s="11">
        <v>780</v>
      </c>
      <c r="M326" s="11"/>
      <c r="N326" s="11"/>
      <c r="O326" s="11"/>
      <c r="P326" s="11"/>
      <c r="Q326" s="11">
        <v>110</v>
      </c>
      <c r="R326" s="11"/>
      <c r="S326" s="11"/>
      <c r="T326" s="11"/>
      <c r="U326" s="11"/>
      <c r="V326" s="11"/>
      <c r="W326" s="11"/>
      <c r="X326" s="11"/>
      <c r="Y326" s="11">
        <v>20</v>
      </c>
      <c r="Z326" s="11"/>
      <c r="AA326" s="11"/>
      <c r="AB326" s="11"/>
      <c r="AC326" s="11"/>
      <c r="AD326" s="11"/>
      <c r="AE326" s="11"/>
      <c r="AF326" s="11">
        <v>130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>
        <v>130</v>
      </c>
      <c r="AS326" s="11"/>
      <c r="AT326" s="11"/>
      <c r="AU326" s="11"/>
      <c r="AV326" s="20" t="str">
        <f>HYPERLINK("http://www.openstreetmap.org/?mlat=36.5831&amp;mlon=42.4857&amp;zoom=12#map=12/36.5831/42.4857","Maplink1")</f>
        <v>Maplink1</v>
      </c>
      <c r="AW326" s="20" t="str">
        <f>HYPERLINK("https://www.google.iq/maps/search/+36.5831,42.4857/@36.5831,42.4857,14z?hl=en","Maplink2")</f>
        <v>Maplink2</v>
      </c>
      <c r="AX326" s="20" t="str">
        <f>HYPERLINK("http://www.bing.com/maps/?lvl=14&amp;sty=h&amp;cp=36.5831~42.4857&amp;sp=point.36.5831_42.4857_Fakerok","Maplink3")</f>
        <v>Maplink3</v>
      </c>
    </row>
    <row r="327" spans="1:50" x14ac:dyDescent="0.25">
      <c r="A327" s="9">
        <v>25980</v>
      </c>
      <c r="B327" s="10" t="s">
        <v>20</v>
      </c>
      <c r="C327" s="10" t="s">
        <v>623</v>
      </c>
      <c r="D327" s="10" t="s">
        <v>1001</v>
      </c>
      <c r="E327" s="10" t="s">
        <v>650</v>
      </c>
      <c r="F327" s="10">
        <v>36.828603999999999</v>
      </c>
      <c r="G327" s="10">
        <v>42.13823</v>
      </c>
      <c r="H327" s="10" t="s">
        <v>551</v>
      </c>
      <c r="I327" s="10" t="s">
        <v>625</v>
      </c>
      <c r="J327" s="10"/>
      <c r="K327" s="11">
        <v>15</v>
      </c>
      <c r="L327" s="11">
        <v>90</v>
      </c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>
        <v>15</v>
      </c>
      <c r="Z327" s="11"/>
      <c r="AA327" s="11"/>
      <c r="AB327" s="11"/>
      <c r="AC327" s="11"/>
      <c r="AD327" s="11"/>
      <c r="AE327" s="11"/>
      <c r="AF327" s="11">
        <v>15</v>
      </c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>
        <v>15</v>
      </c>
      <c r="AS327" s="11"/>
      <c r="AT327" s="11"/>
      <c r="AU327" s="11"/>
      <c r="AV327" s="20" t="str">
        <f>HYPERLINK("http://www.openstreetmap.org/?mlat=36.8286&amp;mlon=42.1382&amp;zoom=12#map=12/36.8286/42.1382","Maplink1")</f>
        <v>Maplink1</v>
      </c>
      <c r="AW327" s="20" t="str">
        <f>HYPERLINK("https://www.google.iq/maps/search/+36.8286,42.1382/@36.8286,42.1382,14z?hl=en","Maplink2")</f>
        <v>Maplink2</v>
      </c>
      <c r="AX327" s="20" t="str">
        <f>HYPERLINK("http://www.bing.com/maps/?lvl=14&amp;sty=h&amp;cp=36.8286~42.1382&amp;sp=point.36.8286_42.1382_Gilbarat village","Maplink3")</f>
        <v>Maplink3</v>
      </c>
    </row>
    <row r="328" spans="1:50" x14ac:dyDescent="0.25">
      <c r="A328" s="9">
        <v>27355</v>
      </c>
      <c r="B328" s="10" t="s">
        <v>20</v>
      </c>
      <c r="C328" s="10" t="s">
        <v>623</v>
      </c>
      <c r="D328" s="10" t="s">
        <v>651</v>
      </c>
      <c r="E328" s="10" t="s">
        <v>652</v>
      </c>
      <c r="F328" s="10">
        <v>36.815658999999997</v>
      </c>
      <c r="G328" s="10">
        <v>42.377710999999998</v>
      </c>
      <c r="H328" s="10" t="s">
        <v>551</v>
      </c>
      <c r="I328" s="10" t="s">
        <v>625</v>
      </c>
      <c r="J328" s="10"/>
      <c r="K328" s="11">
        <v>200</v>
      </c>
      <c r="L328" s="11">
        <v>1200</v>
      </c>
      <c r="M328" s="11"/>
      <c r="N328" s="11"/>
      <c r="O328" s="11"/>
      <c r="P328" s="11"/>
      <c r="Q328" s="11">
        <v>200</v>
      </c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>
        <v>200</v>
      </c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>
        <v>200</v>
      </c>
      <c r="AS328" s="11"/>
      <c r="AT328" s="11"/>
      <c r="AU328" s="11"/>
      <c r="AV328" s="20" t="str">
        <f>HYPERLINK("http://www.openstreetmap.org/?mlat=36.8157&amp;mlon=42.3777&amp;zoom=12#map=12/36.8157/42.3777","Maplink1")</f>
        <v>Maplink1</v>
      </c>
      <c r="AW328" s="20" t="str">
        <f>HYPERLINK("https://www.google.iq/maps/search/+36.8157,42.3777/@36.8157,42.3777,14z?hl=en","Maplink2")</f>
        <v>Maplink2</v>
      </c>
      <c r="AX328" s="20" t="str">
        <f>HYPERLINK("http://www.bing.com/maps/?lvl=14&amp;sty=h&amp;cp=36.8157~42.3777&amp;sp=point.36.8157_42.3777_Hamd Agha Village","Maplink3")</f>
        <v>Maplink3</v>
      </c>
    </row>
    <row r="329" spans="1:50" x14ac:dyDescent="0.25">
      <c r="A329" s="9">
        <v>24701</v>
      </c>
      <c r="B329" s="10" t="s">
        <v>20</v>
      </c>
      <c r="C329" s="10" t="s">
        <v>623</v>
      </c>
      <c r="D329" s="10" t="s">
        <v>1002</v>
      </c>
      <c r="E329" s="10" t="s">
        <v>661</v>
      </c>
      <c r="F329" s="10">
        <v>36.799892999999997</v>
      </c>
      <c r="G329" s="10">
        <v>42.101542999999999</v>
      </c>
      <c r="H329" s="10" t="s">
        <v>551</v>
      </c>
      <c r="I329" s="10" t="s">
        <v>625</v>
      </c>
      <c r="J329" s="10"/>
      <c r="K329" s="11">
        <v>360</v>
      </c>
      <c r="L329" s="11">
        <v>2160</v>
      </c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>
        <v>360</v>
      </c>
      <c r="Z329" s="11"/>
      <c r="AA329" s="11"/>
      <c r="AB329" s="11"/>
      <c r="AC329" s="11"/>
      <c r="AD329" s="11"/>
      <c r="AE329" s="11"/>
      <c r="AF329" s="11">
        <v>360</v>
      </c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>
        <v>320</v>
      </c>
      <c r="AS329" s="11"/>
      <c r="AT329" s="11"/>
      <c r="AU329" s="11">
        <v>40</v>
      </c>
      <c r="AV329" s="20" t="str">
        <f>HYPERLINK("http://www.openstreetmap.org/?mlat=36.7999&amp;mlon=42.1015&amp;zoom=12#map=12/36.7999/42.1015","Maplink1")</f>
        <v>Maplink1</v>
      </c>
      <c r="AW329" s="20" t="str">
        <f>HYPERLINK("https://www.google.iq/maps/search/+36.7999,42.1015/@36.7999,42.1015,14z?hl=en","Maplink2")</f>
        <v>Maplink2</v>
      </c>
      <c r="AX329" s="20" t="str">
        <f>HYPERLINK("http://www.bing.com/maps/?lvl=14&amp;sty=h&amp;cp=36.7999~42.1015&amp;sp=point.36.7999_42.1015_Hay Al-Laban","Maplink3")</f>
        <v>Maplink3</v>
      </c>
    </row>
    <row r="330" spans="1:50" x14ac:dyDescent="0.25">
      <c r="A330" s="9">
        <v>18305</v>
      </c>
      <c r="B330" s="10" t="s">
        <v>20</v>
      </c>
      <c r="C330" s="10" t="s">
        <v>623</v>
      </c>
      <c r="D330" s="10" t="s">
        <v>653</v>
      </c>
      <c r="E330" s="10" t="s">
        <v>654</v>
      </c>
      <c r="F330" s="10">
        <v>36.387056999999999</v>
      </c>
      <c r="G330" s="10">
        <v>42.460937000000001</v>
      </c>
      <c r="H330" s="10" t="s">
        <v>551</v>
      </c>
      <c r="I330" s="10" t="s">
        <v>625</v>
      </c>
      <c r="J330" s="10" t="s">
        <v>655</v>
      </c>
      <c r="K330" s="11">
        <v>10</v>
      </c>
      <c r="L330" s="11">
        <v>60</v>
      </c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>
        <v>10</v>
      </c>
      <c r="Z330" s="11"/>
      <c r="AA330" s="11"/>
      <c r="AB330" s="11"/>
      <c r="AC330" s="11"/>
      <c r="AD330" s="11"/>
      <c r="AE330" s="11"/>
      <c r="AF330" s="11">
        <v>10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>
        <v>10</v>
      </c>
      <c r="AS330" s="11"/>
      <c r="AT330" s="11"/>
      <c r="AU330" s="11"/>
      <c r="AV330" s="20" t="str">
        <f>HYPERLINK("http://www.openstreetmap.org/?mlat=36.3871&amp;mlon=42.4609&amp;zoom=12#map=12/36.3871/42.4609","Maplink1")</f>
        <v>Maplink1</v>
      </c>
      <c r="AW330" s="20" t="str">
        <f>HYPERLINK("https://www.google.iq/maps/search/+36.3871,42.4609/@36.3871,42.4609,14z?hl=en","Maplink2")</f>
        <v>Maplink2</v>
      </c>
      <c r="AX330" s="20" t="str">
        <f>HYPERLINK("http://www.bing.com/maps/?lvl=14&amp;sty=h&amp;cp=36.3871~42.4609&amp;sp=point.36.3871_42.4609_Hay Al Muthana","Maplink3")</f>
        <v>Maplink3</v>
      </c>
    </row>
    <row r="331" spans="1:50" x14ac:dyDescent="0.25">
      <c r="A331" s="9">
        <v>18309</v>
      </c>
      <c r="B331" s="10" t="s">
        <v>20</v>
      </c>
      <c r="C331" s="10" t="s">
        <v>623</v>
      </c>
      <c r="D331" s="10" t="s">
        <v>656</v>
      </c>
      <c r="E331" s="10" t="s">
        <v>454</v>
      </c>
      <c r="F331" s="10">
        <v>36.382618000000001</v>
      </c>
      <c r="G331" s="10">
        <v>42.465124000000003</v>
      </c>
      <c r="H331" s="10" t="s">
        <v>551</v>
      </c>
      <c r="I331" s="10" t="s">
        <v>625</v>
      </c>
      <c r="J331" s="10"/>
      <c r="K331" s="11">
        <v>20</v>
      </c>
      <c r="L331" s="11">
        <v>120</v>
      </c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>
        <v>20</v>
      </c>
      <c r="Z331" s="11"/>
      <c r="AA331" s="11"/>
      <c r="AB331" s="11"/>
      <c r="AC331" s="11"/>
      <c r="AD331" s="11"/>
      <c r="AE331" s="11"/>
      <c r="AF331" s="11">
        <v>20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>
        <v>20</v>
      </c>
      <c r="AS331" s="11"/>
      <c r="AT331" s="11"/>
      <c r="AU331" s="11"/>
      <c r="AV331" s="20" t="str">
        <f>HYPERLINK("http://www.openstreetmap.org/?mlat=36.3869&amp;mlon=42.4672&amp;zoom=12#map=12/36.3869/42.4672","Maplink1")</f>
        <v>Maplink1</v>
      </c>
      <c r="AW331" s="20" t="str">
        <f>HYPERLINK("https://www.google.iq/maps/search/+36.3869,42.4672/@36.3869,42.4672,14z?hl=en","Maplink2")</f>
        <v>Maplink2</v>
      </c>
      <c r="AX331" s="20" t="str">
        <f>HYPERLINK("http://www.bing.com/maps/?lvl=14&amp;sty=h&amp;cp=36.3869~42.4672&amp;sp=point.36.3869_42.4672_Hay Al Uroba","Maplink3")</f>
        <v>Maplink3</v>
      </c>
    </row>
    <row r="332" spans="1:50" x14ac:dyDescent="0.25">
      <c r="A332" s="9">
        <v>27395</v>
      </c>
      <c r="B332" s="10" t="s">
        <v>20</v>
      </c>
      <c r="C332" s="10" t="s">
        <v>623</v>
      </c>
      <c r="D332" s="10" t="s">
        <v>665</v>
      </c>
      <c r="E332" s="10" t="s">
        <v>666</v>
      </c>
      <c r="F332" s="10">
        <v>36.561117000000003</v>
      </c>
      <c r="G332" s="10">
        <v>42.576006999999997</v>
      </c>
      <c r="H332" s="10" t="s">
        <v>551</v>
      </c>
      <c r="I332" s="10" t="s">
        <v>625</v>
      </c>
      <c r="J332" s="10"/>
      <c r="K332" s="11">
        <v>150</v>
      </c>
      <c r="L332" s="11">
        <v>900</v>
      </c>
      <c r="M332" s="11"/>
      <c r="N332" s="11"/>
      <c r="O332" s="11"/>
      <c r="P332" s="11"/>
      <c r="Q332" s="11">
        <v>138</v>
      </c>
      <c r="R332" s="11"/>
      <c r="S332" s="11"/>
      <c r="T332" s="11"/>
      <c r="U332" s="11"/>
      <c r="V332" s="11"/>
      <c r="W332" s="11"/>
      <c r="X332" s="11"/>
      <c r="Y332" s="11">
        <v>12</v>
      </c>
      <c r="Z332" s="11"/>
      <c r="AA332" s="11"/>
      <c r="AB332" s="11"/>
      <c r="AC332" s="11"/>
      <c r="AD332" s="11"/>
      <c r="AE332" s="11"/>
      <c r="AF332" s="11">
        <v>138</v>
      </c>
      <c r="AG332" s="11">
        <v>12</v>
      </c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>
        <v>150</v>
      </c>
      <c r="AS332" s="11"/>
      <c r="AT332" s="11"/>
      <c r="AU332" s="11"/>
      <c r="AV332" s="20" t="str">
        <f>HYPERLINK("http://www.openstreetmap.org/?mlat=36.5611&amp;mlon=42.576&amp;zoom=12#map=12/36.5611/42.576","Maplink1")</f>
        <v>Maplink1</v>
      </c>
      <c r="AW332" s="20" t="str">
        <f>HYPERLINK("https://www.google.iq/maps/search/+36.5611,42.576/@36.5611,42.576,14z?hl=en","Maplink2")</f>
        <v>Maplink2</v>
      </c>
      <c r="AX332" s="20" t="str">
        <f>HYPERLINK("http://www.bing.com/maps/?lvl=14&amp;sty=h&amp;cp=36.5611~42.576&amp;sp=point.36.5611_42.576_Hokna","Maplink3")</f>
        <v>Maplink3</v>
      </c>
    </row>
    <row r="333" spans="1:50" x14ac:dyDescent="0.25">
      <c r="A333" s="9">
        <v>27357</v>
      </c>
      <c r="B333" s="10" t="s">
        <v>20</v>
      </c>
      <c r="C333" s="10" t="s">
        <v>623</v>
      </c>
      <c r="D333" s="10" t="s">
        <v>667</v>
      </c>
      <c r="E333" s="10" t="s">
        <v>668</v>
      </c>
      <c r="F333" s="10">
        <v>36.569606999999998</v>
      </c>
      <c r="G333" s="10">
        <v>42.149697000000003</v>
      </c>
      <c r="H333" s="10" t="s">
        <v>551</v>
      </c>
      <c r="I333" s="10" t="s">
        <v>625</v>
      </c>
      <c r="J333" s="10"/>
      <c r="K333" s="11">
        <v>75</v>
      </c>
      <c r="L333" s="11">
        <v>450</v>
      </c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>
        <v>75</v>
      </c>
      <c r="Z333" s="11"/>
      <c r="AA333" s="11"/>
      <c r="AB333" s="11"/>
      <c r="AC333" s="11"/>
      <c r="AD333" s="11"/>
      <c r="AE333" s="11"/>
      <c r="AF333" s="11">
        <v>75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>
        <v>70</v>
      </c>
      <c r="AS333" s="11"/>
      <c r="AT333" s="11"/>
      <c r="AU333" s="11">
        <v>5</v>
      </c>
      <c r="AV333" s="20" t="str">
        <f>HYPERLINK("http://www.openstreetmap.org/?mlat=36.5696&amp;mlon=42.1497&amp;zoom=12#map=12/36.5696/42.1497","Maplink1")</f>
        <v>Maplink1</v>
      </c>
      <c r="AW333" s="20" t="str">
        <f>HYPERLINK("https://www.google.iq/maps/search/+36.5696,42.1497/@36.5696,42.1497,14z?hl=en","Maplink2")</f>
        <v>Maplink2</v>
      </c>
      <c r="AX333" s="20" t="str">
        <f>HYPERLINK("http://www.bing.com/maps/?lvl=14&amp;sty=h&amp;cp=36.5696~42.1497&amp;sp=point.36.5696_42.1497_jadida","Maplink3")</f>
        <v>Maplink3</v>
      </c>
    </row>
    <row r="334" spans="1:50" x14ac:dyDescent="0.25">
      <c r="A334" s="9">
        <v>27353</v>
      </c>
      <c r="B334" s="10" t="s">
        <v>20</v>
      </c>
      <c r="C334" s="10" t="s">
        <v>623</v>
      </c>
      <c r="D334" s="10" t="s">
        <v>669</v>
      </c>
      <c r="E334" s="10" t="s">
        <v>670</v>
      </c>
      <c r="F334" s="10">
        <v>36.977297999999998</v>
      </c>
      <c r="G334" s="10">
        <v>42.345125000000003</v>
      </c>
      <c r="H334" s="10" t="s">
        <v>551</v>
      </c>
      <c r="I334" s="10" t="s">
        <v>625</v>
      </c>
      <c r="J334" s="10"/>
      <c r="K334" s="11">
        <v>60</v>
      </c>
      <c r="L334" s="11">
        <v>360</v>
      </c>
      <c r="M334" s="11"/>
      <c r="N334" s="11"/>
      <c r="O334" s="11"/>
      <c r="P334" s="11"/>
      <c r="Q334" s="11">
        <v>60</v>
      </c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>
        <v>60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>
        <v>60</v>
      </c>
      <c r="AS334" s="11"/>
      <c r="AT334" s="11"/>
      <c r="AU334" s="11"/>
      <c r="AV334" s="20" t="str">
        <f>HYPERLINK("http://www.openstreetmap.org/?mlat=36.9773&amp;mlon=42.3451&amp;zoom=12#map=12/36.9773/42.3451","Maplink1")</f>
        <v>Maplink1</v>
      </c>
      <c r="AW334" s="20" t="str">
        <f>HYPERLINK("https://www.google.iq/maps/search/+36.9773,42.3451/@36.9773,42.3451,14z?hl=en","Maplink2")</f>
        <v>Maplink2</v>
      </c>
      <c r="AX334" s="20" t="str">
        <f>HYPERLINK("http://www.bing.com/maps/?lvl=14&amp;sty=h&amp;cp=36.9773~42.3451&amp;sp=point.36.9773_42.3451_Jukhri Village","Maplink3")</f>
        <v>Maplink3</v>
      </c>
    </row>
    <row r="335" spans="1:50" x14ac:dyDescent="0.25">
      <c r="A335" s="9">
        <v>17580</v>
      </c>
      <c r="B335" s="10" t="s">
        <v>20</v>
      </c>
      <c r="C335" s="10" t="s">
        <v>623</v>
      </c>
      <c r="D335" s="10" t="s">
        <v>1003</v>
      </c>
      <c r="E335" s="10" t="s">
        <v>671</v>
      </c>
      <c r="F335" s="10">
        <v>36.590000000000003</v>
      </c>
      <c r="G335" s="10">
        <v>42.67</v>
      </c>
      <c r="H335" s="10" t="s">
        <v>551</v>
      </c>
      <c r="I335" s="10" t="s">
        <v>625</v>
      </c>
      <c r="J335" s="10" t="s">
        <v>672</v>
      </c>
      <c r="K335" s="11">
        <v>280</v>
      </c>
      <c r="L335" s="11">
        <v>1680</v>
      </c>
      <c r="M335" s="11"/>
      <c r="N335" s="11"/>
      <c r="O335" s="11"/>
      <c r="P335" s="11"/>
      <c r="Q335" s="11">
        <v>280</v>
      </c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>
        <v>280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>
        <v>280</v>
      </c>
      <c r="AS335" s="11"/>
      <c r="AT335" s="11"/>
      <c r="AU335" s="11"/>
      <c r="AV335" s="20" t="str">
        <f>HYPERLINK("http://www.openstreetmap.org/?mlat=36.59&amp;mlon=42.67&amp;zoom=12#map=12/36.59/42.67","Maplink1")</f>
        <v>Maplink1</v>
      </c>
      <c r="AW335" s="20" t="str">
        <f>HYPERLINK("https://www.google.iq/maps/search/+36.59,42.67/@36.59,42.67,14z?hl=en","Maplink2")</f>
        <v>Maplink2</v>
      </c>
      <c r="AX335" s="20" t="str">
        <f>HYPERLINK("http://www.bing.com/maps/?lvl=14&amp;sty=h&amp;cp=36.59~42.67&amp;sp=point.36.59_42.67_Jussa village","Maplink3")</f>
        <v>Maplink3</v>
      </c>
    </row>
    <row r="336" spans="1:50" x14ac:dyDescent="0.25">
      <c r="A336" s="9">
        <v>22448</v>
      </c>
      <c r="B336" s="10" t="s">
        <v>20</v>
      </c>
      <c r="C336" s="10" t="s">
        <v>623</v>
      </c>
      <c r="D336" s="10" t="s">
        <v>673</v>
      </c>
      <c r="E336" s="10" t="s">
        <v>674</v>
      </c>
      <c r="F336" s="10">
        <v>36.562035999999999</v>
      </c>
      <c r="G336" s="10">
        <v>42.576569999999997</v>
      </c>
      <c r="H336" s="10" t="s">
        <v>551</v>
      </c>
      <c r="I336" s="10" t="s">
        <v>625</v>
      </c>
      <c r="J336" s="10" t="s">
        <v>675</v>
      </c>
      <c r="K336" s="11">
        <v>650</v>
      </c>
      <c r="L336" s="11">
        <v>3900</v>
      </c>
      <c r="M336" s="11"/>
      <c r="N336" s="11"/>
      <c r="O336" s="11"/>
      <c r="P336" s="11"/>
      <c r="Q336" s="11">
        <v>650</v>
      </c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>
        <v>650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>
        <v>650</v>
      </c>
      <c r="AS336" s="11"/>
      <c r="AT336" s="11"/>
      <c r="AU336" s="11"/>
      <c r="AV336" s="20" t="str">
        <f>HYPERLINK("http://www.openstreetmap.org/?mlat=36.562&amp;mlon=42.5766&amp;zoom=12#map=12/36.562/42.5766","Maplink1")</f>
        <v>Maplink1</v>
      </c>
      <c r="AW336" s="20" t="str">
        <f>HYPERLINK("https://www.google.iq/maps/search/+36.562,42.5766/@36.562,42.5766,14z?hl=en","Maplink2")</f>
        <v>Maplink2</v>
      </c>
      <c r="AX336" s="20" t="str">
        <f>HYPERLINK("http://www.bing.com/maps/?lvl=14&amp;sty=h&amp;cp=36.562~42.5766&amp;sp=point.36.562_42.5766_Kahreez","Maplink3")</f>
        <v>Maplink3</v>
      </c>
    </row>
    <row r="337" spans="1:50" x14ac:dyDescent="0.25">
      <c r="A337" s="9">
        <v>25692</v>
      </c>
      <c r="B337" s="10" t="s">
        <v>20</v>
      </c>
      <c r="C337" s="10" t="s">
        <v>623</v>
      </c>
      <c r="D337" s="10" t="s">
        <v>676</v>
      </c>
      <c r="E337" s="10" t="s">
        <v>677</v>
      </c>
      <c r="F337" s="10">
        <v>36.548673000000001</v>
      </c>
      <c r="G337" s="10">
        <v>42.487163000000002</v>
      </c>
      <c r="H337" s="10" t="s">
        <v>551</v>
      </c>
      <c r="I337" s="10" t="s">
        <v>625</v>
      </c>
      <c r="J337" s="10"/>
      <c r="K337" s="11">
        <v>30</v>
      </c>
      <c r="L337" s="11">
        <v>180</v>
      </c>
      <c r="M337" s="11"/>
      <c r="N337" s="11"/>
      <c r="O337" s="11"/>
      <c r="P337" s="11"/>
      <c r="Q337" s="11">
        <v>30</v>
      </c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>
        <v>30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>
        <v>30</v>
      </c>
      <c r="AS337" s="11"/>
      <c r="AT337" s="11"/>
      <c r="AU337" s="11"/>
      <c r="AV337" s="20" t="str">
        <f>HYPERLINK("http://www.openstreetmap.org/?mlat=36.5487&amp;mlon=42.4872&amp;zoom=12#map=12/36.5487/42.4872","Maplink1")</f>
        <v>Maplink1</v>
      </c>
      <c r="AW337" s="20" t="str">
        <f>HYPERLINK("https://www.google.iq/maps/search/+36.5487,42.4872/@36.5487,42.4872,14z?hl=en","Maplink2")</f>
        <v>Maplink2</v>
      </c>
      <c r="AX337" s="20" t="str">
        <f>HYPERLINK("http://www.bing.com/maps/?lvl=14&amp;sty=h&amp;cp=36.5487~42.4872&amp;sp=point.36.5487_42.4872_Karash village 1","Maplink3")</f>
        <v>Maplink3</v>
      </c>
    </row>
    <row r="338" spans="1:50" x14ac:dyDescent="0.25">
      <c r="A338" s="9">
        <v>25693</v>
      </c>
      <c r="B338" s="10" t="s">
        <v>20</v>
      </c>
      <c r="C338" s="10" t="s">
        <v>623</v>
      </c>
      <c r="D338" s="10" t="s">
        <v>678</v>
      </c>
      <c r="E338" s="10" t="s">
        <v>679</v>
      </c>
      <c r="F338" s="10">
        <v>36.547308000000001</v>
      </c>
      <c r="G338" s="10">
        <v>42.477975000000001</v>
      </c>
      <c r="H338" s="10" t="s">
        <v>551</v>
      </c>
      <c r="I338" s="10" t="s">
        <v>625</v>
      </c>
      <c r="J338" s="10"/>
      <c r="K338" s="11">
        <v>50</v>
      </c>
      <c r="L338" s="11">
        <v>300</v>
      </c>
      <c r="M338" s="11"/>
      <c r="N338" s="11"/>
      <c r="O338" s="11"/>
      <c r="P338" s="11"/>
      <c r="Q338" s="11">
        <v>50</v>
      </c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>
        <v>50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>
        <v>50</v>
      </c>
      <c r="AS338" s="11"/>
      <c r="AT338" s="11"/>
      <c r="AU338" s="11"/>
      <c r="AV338" s="20" t="str">
        <f>HYPERLINK("http://www.openstreetmap.org/?mlat=36.5473&amp;mlon=42.478&amp;zoom=12#map=12/36.5473/42.478","Maplink1")</f>
        <v>Maplink1</v>
      </c>
      <c r="AW338" s="20" t="str">
        <f>HYPERLINK("https://www.google.iq/maps/search/+36.5473,42.478/@36.5473,42.478,14z?hl=en","Maplink2")</f>
        <v>Maplink2</v>
      </c>
      <c r="AX338" s="20" t="str">
        <f>HYPERLINK("http://www.bing.com/maps/?lvl=14&amp;sty=h&amp;cp=36.5473~42.478&amp;sp=point.36.5473_42.478_Karash village 2","Maplink3")</f>
        <v>Maplink3</v>
      </c>
    </row>
    <row r="339" spans="1:50" x14ac:dyDescent="0.25">
      <c r="A339" s="9">
        <v>25694</v>
      </c>
      <c r="B339" s="10" t="s">
        <v>20</v>
      </c>
      <c r="C339" s="10" t="s">
        <v>623</v>
      </c>
      <c r="D339" s="10" t="s">
        <v>680</v>
      </c>
      <c r="E339" s="10" t="s">
        <v>681</v>
      </c>
      <c r="F339" s="10">
        <v>36.548578999999997</v>
      </c>
      <c r="G339" s="10">
        <v>42.463979999999999</v>
      </c>
      <c r="H339" s="10" t="s">
        <v>551</v>
      </c>
      <c r="I339" s="10" t="s">
        <v>625</v>
      </c>
      <c r="J339" s="10"/>
      <c r="K339" s="11">
        <v>10</v>
      </c>
      <c r="L339" s="11">
        <v>60</v>
      </c>
      <c r="M339" s="11"/>
      <c r="N339" s="11"/>
      <c r="O339" s="11"/>
      <c r="P339" s="11"/>
      <c r="Q339" s="11">
        <v>10</v>
      </c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>
        <v>10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>
        <v>10</v>
      </c>
      <c r="AS339" s="11"/>
      <c r="AT339" s="11"/>
      <c r="AU339" s="11"/>
      <c r="AV339" s="20" t="str">
        <f>HYPERLINK("http://www.openstreetmap.org/?mlat=36.5486&amp;mlon=42.464&amp;zoom=12#map=12/36.5486/42.464","Maplink1")</f>
        <v>Maplink1</v>
      </c>
      <c r="AW339" s="20" t="str">
        <f>HYPERLINK("https://www.google.iq/maps/search/+36.5486,42.464/@36.5486,42.464,14z?hl=en","Maplink2")</f>
        <v>Maplink2</v>
      </c>
      <c r="AX339" s="20" t="str">
        <f>HYPERLINK("http://www.bing.com/maps/?lvl=14&amp;sty=h&amp;cp=36.5486~42.464&amp;sp=point.36.5486_42.464_Karash village 3","Maplink3")</f>
        <v>Maplink3</v>
      </c>
    </row>
    <row r="340" spans="1:50" x14ac:dyDescent="0.25">
      <c r="A340" s="9">
        <v>25695</v>
      </c>
      <c r="B340" s="10" t="s">
        <v>20</v>
      </c>
      <c r="C340" s="10" t="s">
        <v>623</v>
      </c>
      <c r="D340" s="10" t="s">
        <v>682</v>
      </c>
      <c r="E340" s="10" t="s">
        <v>683</v>
      </c>
      <c r="F340" s="10">
        <v>36.903126999999998</v>
      </c>
      <c r="G340" s="10">
        <v>42.393847999999998</v>
      </c>
      <c r="H340" s="10" t="s">
        <v>551</v>
      </c>
      <c r="I340" s="10" t="s">
        <v>625</v>
      </c>
      <c r="J340" s="10"/>
      <c r="K340" s="11">
        <v>700</v>
      </c>
      <c r="L340" s="11">
        <v>4200</v>
      </c>
      <c r="M340" s="11"/>
      <c r="N340" s="11"/>
      <c r="O340" s="11"/>
      <c r="P340" s="11"/>
      <c r="Q340" s="11">
        <v>700</v>
      </c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>
        <v>648</v>
      </c>
      <c r="AG340" s="11">
        <v>52</v>
      </c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>
        <v>700</v>
      </c>
      <c r="AS340" s="11"/>
      <c r="AT340" s="11"/>
      <c r="AU340" s="11"/>
      <c r="AV340" s="20" t="str">
        <f>HYPERLINK("http://www.openstreetmap.org/?mlat=36.9031&amp;mlon=42.3938&amp;zoom=12#map=12/36.9031/42.3938","Maplink1")</f>
        <v>Maplink1</v>
      </c>
      <c r="AW340" s="20" t="str">
        <f>HYPERLINK("https://www.google.iq/maps/search/+36.9031,42.3938/@36.9031,42.3938,14z?hl=en","Maplink2")</f>
        <v>Maplink2</v>
      </c>
      <c r="AX340" s="20" t="str">
        <f>HYPERLINK("http://www.bing.com/maps/?lvl=14&amp;sty=h&amp;cp=36.9031~42.3938&amp;sp=point.36.9031_42.3938_Kirver village","Maplink3")</f>
        <v>Maplink3</v>
      </c>
    </row>
    <row r="341" spans="1:50" x14ac:dyDescent="0.25">
      <c r="A341" s="9">
        <v>17663</v>
      </c>
      <c r="B341" s="10" t="s">
        <v>20</v>
      </c>
      <c r="C341" s="10" t="s">
        <v>623</v>
      </c>
      <c r="D341" s="10" t="s">
        <v>686</v>
      </c>
      <c r="E341" s="10" t="s">
        <v>687</v>
      </c>
      <c r="F341" s="10">
        <v>36.813583000000001</v>
      </c>
      <c r="G341" s="10">
        <v>42.264406000000001</v>
      </c>
      <c r="H341" s="10" t="s">
        <v>551</v>
      </c>
      <c r="I341" s="10" t="s">
        <v>625</v>
      </c>
      <c r="J341" s="10" t="s">
        <v>688</v>
      </c>
      <c r="K341" s="11">
        <v>67</v>
      </c>
      <c r="L341" s="11">
        <v>402</v>
      </c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>
        <v>67</v>
      </c>
      <c r="Z341" s="11"/>
      <c r="AA341" s="11"/>
      <c r="AB341" s="11"/>
      <c r="AC341" s="11"/>
      <c r="AD341" s="11"/>
      <c r="AE341" s="11"/>
      <c r="AF341" s="11">
        <v>67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>
        <v>64</v>
      </c>
      <c r="AS341" s="11"/>
      <c r="AT341" s="11"/>
      <c r="AU341" s="11">
        <v>3</v>
      </c>
      <c r="AV341" s="20" t="str">
        <f>HYPERLINK("http://www.openstreetmap.org/?mlat=36.81&amp;mlon=42.26&amp;zoom=12#map=12/36.81/42.26","Maplink1")</f>
        <v>Maplink1</v>
      </c>
      <c r="AW341" s="20" t="str">
        <f>HYPERLINK("https://www.google.iq/maps/search/+36.81,42.26/@36.81,42.26,14z?hl=en","Maplink2")</f>
        <v>Maplink2</v>
      </c>
      <c r="AX341" s="20" t="str">
        <f>HYPERLINK("http://www.bing.com/maps/?lvl=14&amp;sty=h&amp;cp=36.81~42.26&amp;sp=point.36.81_42.26_Mashraf","Maplink3")</f>
        <v>Maplink3</v>
      </c>
    </row>
    <row r="342" spans="1:50" x14ac:dyDescent="0.25">
      <c r="A342" s="9">
        <v>27352</v>
      </c>
      <c r="B342" s="10" t="s">
        <v>20</v>
      </c>
      <c r="C342" s="10" t="s">
        <v>623</v>
      </c>
      <c r="D342" s="10" t="s">
        <v>690</v>
      </c>
      <c r="E342" s="10" t="s">
        <v>691</v>
      </c>
      <c r="F342" s="10">
        <v>36.933185999999999</v>
      </c>
      <c r="G342" s="10">
        <v>42.358674000000001</v>
      </c>
      <c r="H342" s="10" t="s">
        <v>551</v>
      </c>
      <c r="I342" s="10" t="s">
        <v>625</v>
      </c>
      <c r="J342" s="10"/>
      <c r="K342" s="11">
        <v>100</v>
      </c>
      <c r="L342" s="11">
        <v>600</v>
      </c>
      <c r="M342" s="11"/>
      <c r="N342" s="11"/>
      <c r="O342" s="11"/>
      <c r="P342" s="11"/>
      <c r="Q342" s="11">
        <v>100</v>
      </c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>
        <v>100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>
        <v>100</v>
      </c>
      <c r="AS342" s="11"/>
      <c r="AT342" s="11"/>
      <c r="AU342" s="11"/>
      <c r="AV342" s="20" t="str">
        <f>HYPERLINK("http://www.openstreetmap.org/?mlat=36.9332&amp;mlon=42.3587&amp;zoom=12#map=12/36.9332/42.3587","Maplink1")</f>
        <v>Maplink1</v>
      </c>
      <c r="AW342" s="20" t="str">
        <f>HYPERLINK("https://www.google.iq/maps/search/+36.9332,42.3587/@36.9332,42.3587,14z?hl=en","Maplink2")</f>
        <v>Maplink2</v>
      </c>
      <c r="AX342" s="20" t="str">
        <f>HYPERLINK("http://www.bing.com/maps/?lvl=14&amp;sty=h&amp;cp=36.9332~42.3587&amp;sp=point.36.9332_42.3587_Omar khaild Village","Maplink3")</f>
        <v>Maplink3</v>
      </c>
    </row>
    <row r="343" spans="1:50" x14ac:dyDescent="0.25">
      <c r="A343" s="9">
        <v>22799</v>
      </c>
      <c r="B343" s="10" t="s">
        <v>20</v>
      </c>
      <c r="C343" s="10" t="s">
        <v>623</v>
      </c>
      <c r="D343" s="10" t="s">
        <v>1004</v>
      </c>
      <c r="E343" s="10" t="s">
        <v>705</v>
      </c>
      <c r="F343" s="10">
        <v>36.591318999999999</v>
      </c>
      <c r="G343" s="10">
        <v>42.523685999999998</v>
      </c>
      <c r="H343" s="10" t="s">
        <v>551</v>
      </c>
      <c r="I343" s="10" t="s">
        <v>625</v>
      </c>
      <c r="J343" s="10" t="s">
        <v>706</v>
      </c>
      <c r="K343" s="11">
        <v>200</v>
      </c>
      <c r="L343" s="11">
        <v>1200</v>
      </c>
      <c r="M343" s="11"/>
      <c r="N343" s="11"/>
      <c r="O343" s="11"/>
      <c r="P343" s="11"/>
      <c r="Q343" s="11">
        <v>200</v>
      </c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>
        <v>200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>
        <v>200</v>
      </c>
      <c r="AS343" s="11"/>
      <c r="AT343" s="11"/>
      <c r="AU343" s="11"/>
      <c r="AV343" s="20" t="str">
        <f>HYPERLINK("http://www.openstreetmap.org/?mlat=36.5913&amp;mlon=42.5237&amp;zoom=12#map=12/36.5913/42.5237","Maplink1")</f>
        <v>Maplink1</v>
      </c>
      <c r="AW343" s="20" t="str">
        <f>HYPERLINK("https://www.google.iq/maps/search/+36.5913,42.5237/@36.5913,42.5237,14z?hl=en","Maplink2")</f>
        <v>Maplink2</v>
      </c>
      <c r="AX343" s="20" t="str">
        <f>HYPERLINK("http://www.bing.com/maps/?lvl=14&amp;sty=h&amp;cp=36.5913~42.5237&amp;sp=point.36.5913_42.5237_Tal marak sufla village","Maplink3")</f>
        <v>Maplink3</v>
      </c>
    </row>
    <row r="344" spans="1:50" x14ac:dyDescent="0.25">
      <c r="A344" s="9">
        <v>25704</v>
      </c>
      <c r="B344" s="10" t="s">
        <v>20</v>
      </c>
      <c r="C344" s="10" t="s">
        <v>623</v>
      </c>
      <c r="D344" s="10" t="s">
        <v>1005</v>
      </c>
      <c r="E344" s="10" t="s">
        <v>707</v>
      </c>
      <c r="F344" s="10">
        <v>36.592678999999997</v>
      </c>
      <c r="G344" s="10">
        <v>42.614227999999997</v>
      </c>
      <c r="H344" s="10" t="s">
        <v>551</v>
      </c>
      <c r="I344" s="10" t="s">
        <v>625</v>
      </c>
      <c r="J344" s="10"/>
      <c r="K344" s="11">
        <v>187</v>
      </c>
      <c r="L344" s="11">
        <v>1122</v>
      </c>
      <c r="M344" s="11"/>
      <c r="N344" s="11"/>
      <c r="O344" s="11"/>
      <c r="P344" s="11"/>
      <c r="Q344" s="11">
        <v>187</v>
      </c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>
        <v>170</v>
      </c>
      <c r="AG344" s="11">
        <v>17</v>
      </c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>
        <v>187</v>
      </c>
      <c r="AS344" s="11"/>
      <c r="AT344" s="11"/>
      <c r="AU344" s="11"/>
      <c r="AV344" s="20" t="str">
        <f>HYPERLINK("http://www.openstreetmap.org/?mlat=36.5927&amp;mlon=42.6142&amp;zoom=12#map=12/36.5927/42.6142","Maplink1")</f>
        <v>Maplink1</v>
      </c>
      <c r="AW344" s="20" t="str">
        <f>HYPERLINK("https://www.google.iq/maps/search/+36.5927,42.6142/@36.5927,42.6142,14z?hl=en","Maplink2")</f>
        <v>Maplink2</v>
      </c>
      <c r="AX344" s="20" t="str">
        <f>HYPERLINK("http://www.bing.com/maps/?lvl=14&amp;sty=h&amp;cp=36.5927~42.6142&amp;sp=point.36.5927_42.6142_Tal marak ulya village","Maplink3")</f>
        <v>Maplink3</v>
      </c>
    </row>
    <row r="345" spans="1:50" x14ac:dyDescent="0.25">
      <c r="A345" s="9">
        <v>25944</v>
      </c>
      <c r="B345" s="10" t="s">
        <v>20</v>
      </c>
      <c r="C345" s="10" t="s">
        <v>623</v>
      </c>
      <c r="D345" s="10" t="s">
        <v>692</v>
      </c>
      <c r="E345" s="10" t="s">
        <v>693</v>
      </c>
      <c r="F345" s="10">
        <v>36.656371999999998</v>
      </c>
      <c r="G345" s="10">
        <v>42.601913000000003</v>
      </c>
      <c r="H345" s="10" t="s">
        <v>551</v>
      </c>
      <c r="I345" s="10" t="s">
        <v>625</v>
      </c>
      <c r="J345" s="10"/>
      <c r="K345" s="11">
        <v>1000</v>
      </c>
      <c r="L345" s="11">
        <v>6000</v>
      </c>
      <c r="M345" s="11"/>
      <c r="N345" s="11"/>
      <c r="O345" s="11"/>
      <c r="P345" s="11"/>
      <c r="Q345" s="11">
        <v>950</v>
      </c>
      <c r="R345" s="11"/>
      <c r="S345" s="11"/>
      <c r="T345" s="11"/>
      <c r="U345" s="11"/>
      <c r="V345" s="11"/>
      <c r="W345" s="11"/>
      <c r="X345" s="11"/>
      <c r="Y345" s="11">
        <v>50</v>
      </c>
      <c r="Z345" s="11"/>
      <c r="AA345" s="11"/>
      <c r="AB345" s="11"/>
      <c r="AC345" s="11"/>
      <c r="AD345" s="11"/>
      <c r="AE345" s="11"/>
      <c r="AF345" s="11">
        <v>550</v>
      </c>
      <c r="AG345" s="11">
        <v>350</v>
      </c>
      <c r="AH345" s="11"/>
      <c r="AI345" s="11"/>
      <c r="AJ345" s="11"/>
      <c r="AK345" s="11"/>
      <c r="AL345" s="11">
        <v>50</v>
      </c>
      <c r="AM345" s="11"/>
      <c r="AN345" s="11">
        <v>50</v>
      </c>
      <c r="AO345" s="11"/>
      <c r="AP345" s="11"/>
      <c r="AQ345" s="11"/>
      <c r="AR345" s="11">
        <v>1000</v>
      </c>
      <c r="AS345" s="11"/>
      <c r="AT345" s="11"/>
      <c r="AU345" s="11"/>
      <c r="AV345" s="20" t="str">
        <f>HYPERLINK("http://www.openstreetmap.org/?mlat=36.6564&amp;mlon=42.6019&amp;zoom=12#map=12/36.6564/42.6019","Maplink1")</f>
        <v>Maplink1</v>
      </c>
      <c r="AW345" s="20" t="str">
        <f>HYPERLINK("https://www.google.iq/maps/search/+36.6564,42.6019/@36.6564,42.6019,14z?hl=en","Maplink2")</f>
        <v>Maplink2</v>
      </c>
      <c r="AX345" s="20" t="str">
        <f>HYPERLINK("http://www.bing.com/maps/?lvl=14&amp;sty=h&amp;cp=36.6564~42.6019&amp;sp=point.36.6564_42.6019_Qasaba Al Zummar","Maplink3")</f>
        <v>Maplink3</v>
      </c>
    </row>
    <row r="346" spans="1:50" x14ac:dyDescent="0.25">
      <c r="A346" s="9">
        <v>17617</v>
      </c>
      <c r="B346" s="10" t="s">
        <v>20</v>
      </c>
      <c r="C346" s="10" t="s">
        <v>623</v>
      </c>
      <c r="D346" s="10" t="s">
        <v>1006</v>
      </c>
      <c r="E346" s="10" t="s">
        <v>694</v>
      </c>
      <c r="F346" s="10">
        <v>36.549999999999997</v>
      </c>
      <c r="G346" s="10">
        <v>42.5</v>
      </c>
      <c r="H346" s="10" t="s">
        <v>551</v>
      </c>
      <c r="I346" s="10" t="s">
        <v>625</v>
      </c>
      <c r="J346" s="10" t="s">
        <v>695</v>
      </c>
      <c r="K346" s="11">
        <v>650</v>
      </c>
      <c r="L346" s="11">
        <v>3900</v>
      </c>
      <c r="M346" s="11"/>
      <c r="N346" s="11"/>
      <c r="O346" s="11"/>
      <c r="P346" s="11"/>
      <c r="Q346" s="11">
        <v>650</v>
      </c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>
        <v>650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>
        <v>650</v>
      </c>
      <c r="AS346" s="11"/>
      <c r="AT346" s="11"/>
      <c r="AU346" s="11"/>
      <c r="AV346" s="20" t="str">
        <f>HYPERLINK("http://www.openstreetmap.org/?mlat=36.55&amp;mlon=42.5&amp;zoom=12#map=12/36.55/42.5","Maplink1")</f>
        <v>Maplink1</v>
      </c>
      <c r="AW346" s="20" t="str">
        <f>HYPERLINK("https://www.google.iq/maps/search/+36.55,42.5/@36.55,42.5,14z?hl=en","Maplink2")</f>
        <v>Maplink2</v>
      </c>
      <c r="AX346" s="20" t="str">
        <f>HYPERLINK("http://www.bing.com/maps/?lvl=14&amp;sty=h&amp;cp=36.55~42.5&amp;sp=point.36.55_42.5_Qasr sarij village","Maplink3")</f>
        <v>Maplink3</v>
      </c>
    </row>
    <row r="347" spans="1:50" x14ac:dyDescent="0.25">
      <c r="A347" s="9">
        <v>25686</v>
      </c>
      <c r="B347" s="10" t="s">
        <v>20</v>
      </c>
      <c r="C347" s="10" t="s">
        <v>623</v>
      </c>
      <c r="D347" s="10" t="s">
        <v>1007</v>
      </c>
      <c r="E347" s="10" t="s">
        <v>658</v>
      </c>
      <c r="F347" s="10">
        <v>36.802517999999999</v>
      </c>
      <c r="G347" s="10">
        <v>42.099220000000003</v>
      </c>
      <c r="H347" s="10" t="s">
        <v>551</v>
      </c>
      <c r="I347" s="10" t="s">
        <v>625</v>
      </c>
      <c r="J347" s="10"/>
      <c r="K347" s="11">
        <v>155</v>
      </c>
      <c r="L347" s="11">
        <v>930</v>
      </c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>
        <v>155</v>
      </c>
      <c r="Z347" s="11"/>
      <c r="AA347" s="11"/>
      <c r="AB347" s="11"/>
      <c r="AC347" s="11"/>
      <c r="AD347" s="11"/>
      <c r="AE347" s="11"/>
      <c r="AF347" s="11">
        <v>155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>
        <v>150</v>
      </c>
      <c r="AS347" s="11"/>
      <c r="AT347" s="11"/>
      <c r="AU347" s="11">
        <v>5</v>
      </c>
      <c r="AV347" s="20" t="str">
        <f>HYPERLINK("http://www.openstreetmap.org/?mlat=36.8025&amp;mlon=42.0992&amp;zoom=12#map=12/36.8025/42.0992","Maplink1")</f>
        <v>Maplink1</v>
      </c>
      <c r="AW347" s="20" t="str">
        <f>HYPERLINK("https://www.google.iq/maps/search/+36.8025,42.0992/@36.8025,42.0992,14z?hl=en","Maplink2")</f>
        <v>Maplink2</v>
      </c>
      <c r="AX347" s="20" t="str">
        <f>HYPERLINK("http://www.bing.com/maps/?lvl=14&amp;sty=h&amp;cp=36.8025~42.0992&amp;sp=point.36.8025_42.0992_Hay Al-Arbaeen","Maplink3")</f>
        <v>Maplink3</v>
      </c>
    </row>
    <row r="348" spans="1:50" x14ac:dyDescent="0.25">
      <c r="A348" s="9">
        <v>25688</v>
      </c>
      <c r="B348" s="10" t="s">
        <v>20</v>
      </c>
      <c r="C348" s="10" t="s">
        <v>623</v>
      </c>
      <c r="D348" s="10" t="s">
        <v>1008</v>
      </c>
      <c r="E348" s="10" t="s">
        <v>662</v>
      </c>
      <c r="F348" s="10">
        <v>36.806666</v>
      </c>
      <c r="G348" s="10">
        <v>42.099963000000002</v>
      </c>
      <c r="H348" s="10" t="s">
        <v>551</v>
      </c>
      <c r="I348" s="10" t="s">
        <v>625</v>
      </c>
      <c r="J348" s="10"/>
      <c r="K348" s="11">
        <v>405</v>
      </c>
      <c r="L348" s="11">
        <v>2430</v>
      </c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>
        <v>405</v>
      </c>
      <c r="Z348" s="11"/>
      <c r="AA348" s="11"/>
      <c r="AB348" s="11"/>
      <c r="AC348" s="11"/>
      <c r="AD348" s="11"/>
      <c r="AE348" s="11"/>
      <c r="AF348" s="11">
        <v>405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>
        <v>395</v>
      </c>
      <c r="AS348" s="11"/>
      <c r="AT348" s="11"/>
      <c r="AU348" s="11">
        <v>10</v>
      </c>
      <c r="AV348" s="20" t="str">
        <f>HYPERLINK("http://www.openstreetmap.org/?mlat=36.8067&amp;mlon=42.1&amp;zoom=12#map=12/36.8067/42.1","Maplink1")</f>
        <v>Maplink1</v>
      </c>
      <c r="AW348" s="20" t="str">
        <f>HYPERLINK("https://www.google.iq/maps/search/+36.8067,42.1/@36.8067,42.1,14z?hl=en","Maplink2")</f>
        <v>Maplink2</v>
      </c>
      <c r="AX348" s="20" t="str">
        <f>HYPERLINK("http://www.bing.com/maps/?lvl=14&amp;sty=h&amp;cp=36.8067~42.1&amp;sp=point.36.8067_42.1_Hay Al-Qadisya","Maplink3")</f>
        <v>Maplink3</v>
      </c>
    </row>
    <row r="349" spans="1:50" x14ac:dyDescent="0.25">
      <c r="A349" s="9">
        <v>25687</v>
      </c>
      <c r="B349" s="10" t="s">
        <v>20</v>
      </c>
      <c r="C349" s="10" t="s">
        <v>623</v>
      </c>
      <c r="D349" s="10" t="s">
        <v>1009</v>
      </c>
      <c r="E349" s="10" t="s">
        <v>664</v>
      </c>
      <c r="F349" s="10">
        <v>36.800964</v>
      </c>
      <c r="G349" s="10">
        <v>42.089575000000004</v>
      </c>
      <c r="H349" s="10" t="s">
        <v>551</v>
      </c>
      <c r="I349" s="10" t="s">
        <v>625</v>
      </c>
      <c r="J349" s="10"/>
      <c r="K349" s="11">
        <v>118</v>
      </c>
      <c r="L349" s="11">
        <v>708</v>
      </c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>
        <v>118</v>
      </c>
      <c r="Z349" s="11"/>
      <c r="AA349" s="11"/>
      <c r="AB349" s="11"/>
      <c r="AC349" s="11"/>
      <c r="AD349" s="11"/>
      <c r="AE349" s="11"/>
      <c r="AF349" s="11">
        <v>118</v>
      </c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>
        <v>117</v>
      </c>
      <c r="AS349" s="11"/>
      <c r="AT349" s="11"/>
      <c r="AU349" s="11">
        <v>1</v>
      </c>
      <c r="AV349" s="20" t="str">
        <f>HYPERLINK("http://www.openstreetmap.org/?mlat=36.801&amp;mlon=42.0896&amp;zoom=12#map=12/36.801/42.0896","Maplink1")</f>
        <v>Maplink1</v>
      </c>
      <c r="AW349" s="20" t="str">
        <f>HYPERLINK("https://www.google.iq/maps/search/+36.801,42.0896/@36.801,42.0896,14z?hl=en","Maplink2")</f>
        <v>Maplink2</v>
      </c>
      <c r="AX349" s="20" t="str">
        <f>HYPERLINK("http://www.bing.com/maps/?lvl=14&amp;sty=h&amp;cp=36.801~42.0896&amp;sp=point.36.801_42.0896_Hay Al-Sikak","Maplink3")</f>
        <v>Maplink3</v>
      </c>
    </row>
    <row r="350" spans="1:50" x14ac:dyDescent="0.25">
      <c r="A350" s="9">
        <v>17657</v>
      </c>
      <c r="B350" s="10" t="s">
        <v>20</v>
      </c>
      <c r="C350" s="10" t="s">
        <v>623</v>
      </c>
      <c r="D350" s="10" t="s">
        <v>1010</v>
      </c>
      <c r="E350" s="10" t="s">
        <v>624</v>
      </c>
      <c r="F350" s="10">
        <v>36.758319999999998</v>
      </c>
      <c r="G350" s="10">
        <v>42.208589000000003</v>
      </c>
      <c r="H350" s="10" t="s">
        <v>551</v>
      </c>
      <c r="I350" s="10" t="s">
        <v>625</v>
      </c>
      <c r="J350" s="10" t="s">
        <v>626</v>
      </c>
      <c r="K350" s="11">
        <v>210</v>
      </c>
      <c r="L350" s="11">
        <v>1260</v>
      </c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>
        <v>210</v>
      </c>
      <c r="Z350" s="11"/>
      <c r="AA350" s="11"/>
      <c r="AB350" s="11"/>
      <c r="AC350" s="11"/>
      <c r="AD350" s="11"/>
      <c r="AE350" s="11"/>
      <c r="AF350" s="11">
        <v>210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>
        <v>210</v>
      </c>
      <c r="AS350" s="11"/>
      <c r="AT350" s="11"/>
      <c r="AU350" s="11"/>
      <c r="AV350" s="20" t="str">
        <f>HYPERLINK("http://www.openstreetmap.org/?mlat=36.7583&amp;mlon=42.2086&amp;zoom=12#map=12/36.7583/42.2086","Maplink1")</f>
        <v>Maplink1</v>
      </c>
      <c r="AW350" s="20" t="str">
        <f>HYPERLINK("https://www.google.iq/maps/search/+36.7583,42.2086/@36.7583,42.2086,14z?hl=en","Maplink2")</f>
        <v>Maplink2</v>
      </c>
      <c r="AX350" s="20" t="str">
        <f>HYPERLINK("http://www.bing.com/maps/?lvl=14&amp;sty=h&amp;cp=36.7583~42.2086&amp;sp=point.36.7583_42.2086_Al Angaa","Maplink3")</f>
        <v>Maplink3</v>
      </c>
    </row>
    <row r="351" spans="1:50" x14ac:dyDescent="0.25">
      <c r="A351" s="9">
        <v>28453</v>
      </c>
      <c r="B351" s="10" t="s">
        <v>20</v>
      </c>
      <c r="C351" s="10" t="s">
        <v>623</v>
      </c>
      <c r="D351" s="10" t="s">
        <v>1011</v>
      </c>
      <c r="E351" s="10" t="s">
        <v>627</v>
      </c>
      <c r="F351" s="10">
        <v>36.727165999999997</v>
      </c>
      <c r="G351" s="10">
        <v>42.258491999999997</v>
      </c>
      <c r="H351" s="10" t="s">
        <v>551</v>
      </c>
      <c r="I351" s="10" t="s">
        <v>625</v>
      </c>
      <c r="J351" s="10"/>
      <c r="K351" s="11">
        <v>160</v>
      </c>
      <c r="L351" s="11">
        <v>960</v>
      </c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>
        <v>160</v>
      </c>
      <c r="Z351" s="11"/>
      <c r="AA351" s="11"/>
      <c r="AB351" s="11"/>
      <c r="AC351" s="11"/>
      <c r="AD351" s="11"/>
      <c r="AE351" s="11"/>
      <c r="AF351" s="11">
        <v>160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>
        <v>155</v>
      </c>
      <c r="AS351" s="11"/>
      <c r="AT351" s="11"/>
      <c r="AU351" s="11">
        <v>5</v>
      </c>
      <c r="AV351" s="20" t="str">
        <f>HYPERLINK("http://www.openstreetmap.org/?mlat=36.7272&amp;mlon=42.2585&amp;zoom=12#map=12/36.7272/42.2585","Maplink1")</f>
        <v>Maplink1</v>
      </c>
      <c r="AW351" s="20" t="str">
        <f>HYPERLINK("https://www.google.iq/maps/search/+36.7272,42.2585/@36.7272,42.2585,14z?hl=en","Maplink2")</f>
        <v>Maplink2</v>
      </c>
      <c r="AX351" s="20" t="str">
        <f>HYPERLINK("http://www.bing.com/maps/?lvl=14&amp;sty=h&amp;cp=36.7272~42.2585&amp;sp=point.36.7272_42.2585_Al Angaa","Maplink3")</f>
        <v>Maplink3</v>
      </c>
    </row>
    <row r="352" spans="1:50" x14ac:dyDescent="0.25">
      <c r="A352" s="9">
        <v>28440</v>
      </c>
      <c r="B352" s="10" t="s">
        <v>20</v>
      </c>
      <c r="C352" s="10" t="s">
        <v>623</v>
      </c>
      <c r="D352" s="10" t="s">
        <v>1012</v>
      </c>
      <c r="E352" s="10" t="s">
        <v>641</v>
      </c>
      <c r="F352" s="10">
        <v>36.798575999999997</v>
      </c>
      <c r="G352" s="10">
        <v>42.215418</v>
      </c>
      <c r="H352" s="10" t="s">
        <v>551</v>
      </c>
      <c r="I352" s="10" t="s">
        <v>625</v>
      </c>
      <c r="J352" s="10"/>
      <c r="K352" s="11">
        <v>80</v>
      </c>
      <c r="L352" s="11">
        <v>480</v>
      </c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>
        <v>80</v>
      </c>
      <c r="Z352" s="11"/>
      <c r="AA352" s="11"/>
      <c r="AB352" s="11"/>
      <c r="AC352" s="11"/>
      <c r="AD352" s="11"/>
      <c r="AE352" s="11"/>
      <c r="AF352" s="11">
        <v>80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>
        <v>79</v>
      </c>
      <c r="AS352" s="11"/>
      <c r="AT352" s="11"/>
      <c r="AU352" s="11">
        <v>1</v>
      </c>
      <c r="AV352" s="20" t="str">
        <f>HYPERLINK("http://www.openstreetmap.org/?mlat=36.7986&amp;mlon=42.2154&amp;zoom=12#map=12/36.7986/42.2154","Maplink1")</f>
        <v>Maplink1</v>
      </c>
      <c r="AW352" s="20" t="str">
        <f>HYPERLINK("https://www.google.iq/maps/search/+36.7986,42.2154/@36.7986,42.2154,14z?hl=en","Maplink2")</f>
        <v>Maplink2</v>
      </c>
      <c r="AX352" s="20" t="str">
        <f>HYPERLINK("http://www.bing.com/maps/?lvl=14&amp;sty=h&amp;cp=36.7986~42.2154&amp;sp=point.36.7986_42.2154_Al Angaa","Maplink3")</f>
        <v>Maplink3</v>
      </c>
    </row>
    <row r="353" spans="1:50" x14ac:dyDescent="0.25">
      <c r="A353" s="9">
        <v>28450</v>
      </c>
      <c r="B353" s="10" t="s">
        <v>20</v>
      </c>
      <c r="C353" s="10" t="s">
        <v>623</v>
      </c>
      <c r="D353" s="10" t="s">
        <v>1013</v>
      </c>
      <c r="E353" s="10" t="s">
        <v>628</v>
      </c>
      <c r="F353" s="10">
        <v>36.678334999999997</v>
      </c>
      <c r="G353" s="10">
        <v>42.395927</v>
      </c>
      <c r="H353" s="10" t="s">
        <v>551</v>
      </c>
      <c r="I353" s="10" t="s">
        <v>625</v>
      </c>
      <c r="J353" s="10"/>
      <c r="K353" s="11">
        <v>1200</v>
      </c>
      <c r="L353" s="11">
        <v>7200</v>
      </c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>
        <v>1200</v>
      </c>
      <c r="Z353" s="11"/>
      <c r="AA353" s="11"/>
      <c r="AB353" s="11"/>
      <c r="AC353" s="11"/>
      <c r="AD353" s="11"/>
      <c r="AE353" s="11"/>
      <c r="AF353" s="11">
        <v>1200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>
        <v>1200</v>
      </c>
      <c r="AS353" s="11"/>
      <c r="AT353" s="11"/>
      <c r="AU353" s="11"/>
      <c r="AV353" s="20" t="str">
        <f>HYPERLINK("http://www.openstreetmap.org/?mlat=36.6783&amp;mlon=42.3959&amp;zoom=12#map=12/36.6783/42.3959","Maplink1")</f>
        <v>Maplink1</v>
      </c>
      <c r="AW353" s="20" t="str">
        <f>HYPERLINK("https://www.google.iq/maps/search/+36.6783,42.3959/@36.6783,42.3959,14z?hl=en","Maplink2")</f>
        <v>Maplink2</v>
      </c>
      <c r="AX353" s="20" t="str">
        <f>HYPERLINK("http://www.bing.com/maps/?lvl=14&amp;sty=h&amp;cp=36.6783~42.3959&amp;sp=point.36.6783_42.3959_Al Angaa","Maplink3")</f>
        <v>Maplink3</v>
      </c>
    </row>
    <row r="354" spans="1:50" x14ac:dyDescent="0.25">
      <c r="A354" s="9">
        <v>18308</v>
      </c>
      <c r="B354" s="10" t="s">
        <v>20</v>
      </c>
      <c r="C354" s="10" t="s">
        <v>623</v>
      </c>
      <c r="D354" s="10" t="s">
        <v>1014</v>
      </c>
      <c r="E354" s="10" t="s">
        <v>657</v>
      </c>
      <c r="F354" s="10">
        <v>36.808385000000001</v>
      </c>
      <c r="G354" s="10">
        <v>42.090713000000001</v>
      </c>
      <c r="H354" s="10" t="s">
        <v>551</v>
      </c>
      <c r="I354" s="10" t="s">
        <v>625</v>
      </c>
      <c r="J354" s="10"/>
      <c r="K354" s="11">
        <v>1000</v>
      </c>
      <c r="L354" s="11">
        <v>6000</v>
      </c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>
        <v>1000</v>
      </c>
      <c r="Z354" s="11"/>
      <c r="AA354" s="11"/>
      <c r="AB354" s="11"/>
      <c r="AC354" s="11"/>
      <c r="AD354" s="11"/>
      <c r="AE354" s="11"/>
      <c r="AF354" s="11">
        <v>1000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>
        <v>995</v>
      </c>
      <c r="AS354" s="11"/>
      <c r="AT354" s="11"/>
      <c r="AU354" s="11">
        <v>5</v>
      </c>
      <c r="AV354" s="20" t="str">
        <f>HYPERLINK("http://www.openstreetmap.org/?mlat=36.8084&amp;mlon=42.0907&amp;zoom=12#map=12/36.8084/42.0907","Maplink1")</f>
        <v>Maplink1</v>
      </c>
      <c r="AW354" s="20" t="str">
        <f>HYPERLINK("https://www.google.iq/maps/search/+36.8084,42.0907/@36.8084,42.0907,14z?hl=en","Maplink2")</f>
        <v>Maplink2</v>
      </c>
      <c r="AX354" s="20" t="str">
        <f>HYPERLINK("http://www.bing.com/maps/?lvl=14&amp;sty=h&amp;cp=36.8084~42.0907&amp;sp=point.36.8084_42.0907_Hay Al-Aaskari","Maplink3")</f>
        <v>Maplink3</v>
      </c>
    </row>
    <row r="355" spans="1:50" x14ac:dyDescent="0.25">
      <c r="A355" s="9">
        <v>25808</v>
      </c>
      <c r="B355" s="10" t="s">
        <v>20</v>
      </c>
      <c r="C355" s="10" t="s">
        <v>623</v>
      </c>
      <c r="D355" s="10" t="s">
        <v>1015</v>
      </c>
      <c r="E355" s="10" t="s">
        <v>659</v>
      </c>
      <c r="F355" s="10">
        <v>36.807965000000003</v>
      </c>
      <c r="G355" s="10">
        <v>42.096708</v>
      </c>
      <c r="H355" s="10" t="s">
        <v>551</v>
      </c>
      <c r="I355" s="10" t="s">
        <v>625</v>
      </c>
      <c r="J355" s="10"/>
      <c r="K355" s="11">
        <v>500</v>
      </c>
      <c r="L355" s="11">
        <v>3000</v>
      </c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>
        <v>500</v>
      </c>
      <c r="Z355" s="11"/>
      <c r="AA355" s="11"/>
      <c r="AB355" s="11"/>
      <c r="AC355" s="11"/>
      <c r="AD355" s="11"/>
      <c r="AE355" s="11"/>
      <c r="AF355" s="11">
        <v>500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>
        <v>500</v>
      </c>
      <c r="AS355" s="11"/>
      <c r="AT355" s="11"/>
      <c r="AU355" s="11"/>
      <c r="AV355" s="20" t="str">
        <f>HYPERLINK("http://www.openstreetmap.org/?mlat=36.808&amp;mlon=42.0967&amp;zoom=12#map=12/36.808/42.0967","Maplink1")</f>
        <v>Maplink1</v>
      </c>
      <c r="AW355" s="20" t="str">
        <f>HYPERLINK("https://www.google.iq/maps/search/+36.808,42.0967/@36.808,42.0967,14z?hl=en","Maplink2")</f>
        <v>Maplink2</v>
      </c>
      <c r="AX355" s="20" t="str">
        <f>HYPERLINK("http://www.bing.com/maps/?lvl=14&amp;sty=h&amp;cp=36.808~42.0967&amp;sp=point.36.808_42.0967_Hay Al-Asreya","Maplink3")</f>
        <v>Maplink3</v>
      </c>
    </row>
    <row r="356" spans="1:50" x14ac:dyDescent="0.25">
      <c r="A356" s="9">
        <v>25807</v>
      </c>
      <c r="B356" s="10" t="s">
        <v>20</v>
      </c>
      <c r="C356" s="10" t="s">
        <v>623</v>
      </c>
      <c r="D356" s="10" t="s">
        <v>1016</v>
      </c>
      <c r="E356" s="10" t="s">
        <v>660</v>
      </c>
      <c r="F356" s="10">
        <v>36.805712999999997</v>
      </c>
      <c r="G356" s="10">
        <v>42.090367999999998</v>
      </c>
      <c r="H356" s="10" t="s">
        <v>551</v>
      </c>
      <c r="I356" s="10" t="s">
        <v>625</v>
      </c>
      <c r="J356" s="10"/>
      <c r="K356" s="11">
        <v>215</v>
      </c>
      <c r="L356" s="11">
        <v>1290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>
        <v>215</v>
      </c>
      <c r="Z356" s="11"/>
      <c r="AA356" s="11"/>
      <c r="AB356" s="11"/>
      <c r="AC356" s="11"/>
      <c r="AD356" s="11"/>
      <c r="AE356" s="11"/>
      <c r="AF356" s="11">
        <v>215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>
        <v>215</v>
      </c>
      <c r="AS356" s="11"/>
      <c r="AT356" s="11"/>
      <c r="AU356" s="11"/>
      <c r="AV356" s="20" t="str">
        <f>HYPERLINK("http://www.openstreetmap.org/?mlat=36.8057&amp;mlon=42.0904&amp;zoom=12#map=12/36.8057/42.0904","Maplink1")</f>
        <v>Maplink1</v>
      </c>
      <c r="AW356" s="20" t="str">
        <f>HYPERLINK("https://www.google.iq/maps/search/+36.8057,42.0904/@36.8057,42.0904,14z?hl=en","Maplink2")</f>
        <v>Maplink2</v>
      </c>
      <c r="AX356" s="20" t="str">
        <f>HYPERLINK("http://www.bing.com/maps/?lvl=14&amp;sty=h&amp;cp=36.8057~42.0904&amp;sp=point.36.8057_42.0904_Hay Al-dhahabe","Maplink3")</f>
        <v>Maplink3</v>
      </c>
    </row>
    <row r="357" spans="1:50" x14ac:dyDescent="0.25">
      <c r="A357" s="9">
        <v>28451</v>
      </c>
      <c r="B357" s="10" t="s">
        <v>20</v>
      </c>
      <c r="C357" s="10" t="s">
        <v>623</v>
      </c>
      <c r="D357" s="10" t="s">
        <v>1017</v>
      </c>
      <c r="E357" s="10" t="s">
        <v>629</v>
      </c>
      <c r="F357" s="10">
        <v>36.729982</v>
      </c>
      <c r="G357" s="10">
        <v>42.389882</v>
      </c>
      <c r="H357" s="10" t="s">
        <v>551</v>
      </c>
      <c r="I357" s="10" t="s">
        <v>625</v>
      </c>
      <c r="J357" s="10"/>
      <c r="K357" s="11">
        <v>400</v>
      </c>
      <c r="L357" s="11">
        <v>2400</v>
      </c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>
        <v>400</v>
      </c>
      <c r="Z357" s="11"/>
      <c r="AA357" s="11"/>
      <c r="AB357" s="11"/>
      <c r="AC357" s="11"/>
      <c r="AD357" s="11"/>
      <c r="AE357" s="11"/>
      <c r="AF357" s="11">
        <v>400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>
        <v>400</v>
      </c>
      <c r="AS357" s="11"/>
      <c r="AT357" s="11"/>
      <c r="AU357" s="11"/>
      <c r="AV357" s="20" t="str">
        <f>HYPERLINK("http://www.openstreetmap.org/?mlat=36.73&amp;mlon=42.3899&amp;zoom=12#map=12/36.73/42.3899","Maplink1")</f>
        <v>Maplink1</v>
      </c>
      <c r="AW357" s="20" t="str">
        <f>HYPERLINK("https://www.google.iq/maps/search/+36.73,42.3899/@36.73,42.3899,14z?hl=en","Maplink2")</f>
        <v>Maplink2</v>
      </c>
      <c r="AX357" s="20" t="str">
        <f>HYPERLINK("http://www.bing.com/maps/?lvl=14&amp;sty=h&amp;cp=36.73~42.3899&amp;sp=point.36.73_42.3899_Al Angaa","Maplink3")</f>
        <v>Maplink3</v>
      </c>
    </row>
    <row r="358" spans="1:50" x14ac:dyDescent="0.25">
      <c r="A358" s="9">
        <v>25893</v>
      </c>
      <c r="B358" s="10" t="s">
        <v>20</v>
      </c>
      <c r="C358" s="10" t="s">
        <v>623</v>
      </c>
      <c r="D358" s="10" t="s">
        <v>1018</v>
      </c>
      <c r="E358" s="10" t="s">
        <v>689</v>
      </c>
      <c r="F358" s="10">
        <v>36.763781999999999</v>
      </c>
      <c r="G358" s="10">
        <v>42.064528000000003</v>
      </c>
      <c r="H358" s="10" t="s">
        <v>551</v>
      </c>
      <c r="I358" s="10" t="s">
        <v>625</v>
      </c>
      <c r="J358" s="10"/>
      <c r="K358" s="11">
        <v>365</v>
      </c>
      <c r="L358" s="11">
        <v>2190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>
        <v>365</v>
      </c>
      <c r="Z358" s="11"/>
      <c r="AA358" s="11"/>
      <c r="AB358" s="11"/>
      <c r="AC358" s="11"/>
      <c r="AD358" s="11"/>
      <c r="AE358" s="11"/>
      <c r="AF358" s="11">
        <v>365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>
        <v>364</v>
      </c>
      <c r="AS358" s="11"/>
      <c r="AT358" s="11"/>
      <c r="AU358" s="11">
        <v>1</v>
      </c>
      <c r="AV358" s="20" t="str">
        <f>HYPERLINK("http://www.openstreetmap.org/?mlat=36.7638&amp;mlon=42.0645&amp;zoom=12#map=12/36.7638/42.0645","Maplink1")</f>
        <v>Maplink1</v>
      </c>
      <c r="AW358" s="20" t="str">
        <f>HYPERLINK("https://www.google.iq/maps/search/+36.7638,42.0645/@36.7638,42.0645,14z?hl=en","Maplink2")</f>
        <v>Maplink2</v>
      </c>
      <c r="AX358" s="20" t="str">
        <f>HYPERLINK("http://www.bing.com/maps/?lvl=14&amp;sty=h&amp;cp=36.7638~42.0645&amp;sp=point.36.7638_42.0645_Msherfa village","Maplink3")</f>
        <v>Maplink3</v>
      </c>
    </row>
    <row r="359" spans="1:50" x14ac:dyDescent="0.25">
      <c r="A359" s="9">
        <v>28452</v>
      </c>
      <c r="B359" s="10" t="s">
        <v>20</v>
      </c>
      <c r="C359" s="10" t="s">
        <v>623</v>
      </c>
      <c r="D359" s="10" t="s">
        <v>1019</v>
      </c>
      <c r="E359" s="10" t="s">
        <v>630</v>
      </c>
      <c r="F359" s="10">
        <v>36.608437000000002</v>
      </c>
      <c r="G359" s="10">
        <v>41.977395999999999</v>
      </c>
      <c r="H359" s="10" t="s">
        <v>551</v>
      </c>
      <c r="I359" s="10" t="s">
        <v>625</v>
      </c>
      <c r="J359" s="10"/>
      <c r="K359" s="11">
        <v>30</v>
      </c>
      <c r="L359" s="11">
        <v>180</v>
      </c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>
        <v>30</v>
      </c>
      <c r="Z359" s="11"/>
      <c r="AA359" s="11"/>
      <c r="AB359" s="11"/>
      <c r="AC359" s="11"/>
      <c r="AD359" s="11"/>
      <c r="AE359" s="11"/>
      <c r="AF359" s="11">
        <v>30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>
        <v>30</v>
      </c>
      <c r="AS359" s="11"/>
      <c r="AT359" s="11"/>
      <c r="AU359" s="11"/>
      <c r="AV359" s="20" t="str">
        <f>HYPERLINK("http://www.openstreetmap.org/?mlat=36.6084&amp;mlon=41.9774&amp;zoom=12#map=12/36.6084/41.9774","Maplink1")</f>
        <v>Maplink1</v>
      </c>
      <c r="AW359" s="20" t="str">
        <f>HYPERLINK("https://www.google.iq/maps/search/+36.6084,41.9774/@36.6084,41.9774,14z?hl=en","Maplink2")</f>
        <v>Maplink2</v>
      </c>
      <c r="AX359" s="20" t="str">
        <f>HYPERLINK("http://www.bing.com/maps/?lvl=14&amp;sty=h&amp;cp=36.6084~41.9774&amp;sp=point.36.6084_41.9774_Al Angaa","Maplink3")</f>
        <v>Maplink3</v>
      </c>
    </row>
    <row r="360" spans="1:50" x14ac:dyDescent="0.25">
      <c r="A360" s="9">
        <v>28438</v>
      </c>
      <c r="B360" s="10" t="s">
        <v>20</v>
      </c>
      <c r="C360" s="10" t="s">
        <v>623</v>
      </c>
      <c r="D360" s="10" t="s">
        <v>1020</v>
      </c>
      <c r="E360" s="10" t="s">
        <v>702</v>
      </c>
      <c r="F360" s="10">
        <v>36.793627000000001</v>
      </c>
      <c r="G360" s="10">
        <v>42.175499000000002</v>
      </c>
      <c r="H360" s="10" t="s">
        <v>551</v>
      </c>
      <c r="I360" s="10" t="s">
        <v>625</v>
      </c>
      <c r="J360" s="10"/>
      <c r="K360" s="11">
        <v>275</v>
      </c>
      <c r="L360" s="11">
        <v>1650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>
        <v>275</v>
      </c>
      <c r="Z360" s="11"/>
      <c r="AA360" s="11"/>
      <c r="AB360" s="11"/>
      <c r="AC360" s="11"/>
      <c r="AD360" s="11"/>
      <c r="AE360" s="11"/>
      <c r="AF360" s="11">
        <v>275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>
        <v>275</v>
      </c>
      <c r="AS360" s="11"/>
      <c r="AT360" s="11"/>
      <c r="AU360" s="11"/>
      <c r="AV360" s="20" t="str">
        <f>HYPERLINK("http://www.openstreetmap.org/?mlat=36.7936&amp;mlon=42.1755&amp;zoom=12#map=12/36.7936/42.1755","Maplink1")</f>
        <v>Maplink1</v>
      </c>
      <c r="AW360" s="20" t="str">
        <f>HYPERLINK("https://www.google.iq/maps/search/+36.7936,42.1755/@36.7936,42.1755,14z?hl=en","Maplink2")</f>
        <v>Maplink2</v>
      </c>
      <c r="AX360" s="20" t="str">
        <f>HYPERLINK("http://www.bing.com/maps/?lvl=14&amp;sty=h&amp;cp=36.7936~42.1755&amp;sp=point.36.7936_42.1755_Al Angaa","Maplink3")</f>
        <v>Maplink3</v>
      </c>
    </row>
    <row r="361" spans="1:50" x14ac:dyDescent="0.25">
      <c r="A361" s="9">
        <v>28439</v>
      </c>
      <c r="B361" s="10" t="s">
        <v>20</v>
      </c>
      <c r="C361" s="10" t="s">
        <v>623</v>
      </c>
      <c r="D361" s="10" t="s">
        <v>1021</v>
      </c>
      <c r="E361" s="10" t="s">
        <v>710</v>
      </c>
      <c r="F361" s="10">
        <v>36.744999999999997</v>
      </c>
      <c r="G361" s="10">
        <v>42.201110999999997</v>
      </c>
      <c r="H361" s="10" t="s">
        <v>551</v>
      </c>
      <c r="I361" s="10" t="s">
        <v>625</v>
      </c>
      <c r="J361" s="10"/>
      <c r="K361" s="11">
        <v>105</v>
      </c>
      <c r="L361" s="11">
        <v>630</v>
      </c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>
        <v>105</v>
      </c>
      <c r="Z361" s="11"/>
      <c r="AA361" s="11"/>
      <c r="AB361" s="11"/>
      <c r="AC361" s="11"/>
      <c r="AD361" s="11"/>
      <c r="AE361" s="11"/>
      <c r="AF361" s="11">
        <v>105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105</v>
      </c>
      <c r="AS361" s="11"/>
      <c r="AT361" s="11"/>
      <c r="AU361" s="11"/>
      <c r="AV361" s="20" t="str">
        <f>HYPERLINK("http://www.openstreetmap.org/?mlat=36.745&amp;mlon=42.2011&amp;zoom=12#map=12/36.745/42.2011","Maplink1")</f>
        <v>Maplink1</v>
      </c>
      <c r="AW361" s="20" t="str">
        <f>HYPERLINK("https://www.google.iq/maps/search/+36.745,42.2011/@36.745,42.2011,14z?hl=en","Maplink2")</f>
        <v>Maplink2</v>
      </c>
      <c r="AX361" s="20" t="str">
        <f>HYPERLINK("http://www.bing.com/maps/?lvl=14&amp;sty=h&amp;cp=36.745~42.2011&amp;sp=point.36.745_42.2011_Al Angaa","Maplink3")</f>
        <v>Maplink3</v>
      </c>
    </row>
    <row r="362" spans="1:50" x14ac:dyDescent="0.25">
      <c r="A362" s="9">
        <v>28444</v>
      </c>
      <c r="B362" s="10" t="s">
        <v>20</v>
      </c>
      <c r="C362" s="10" t="s">
        <v>623</v>
      </c>
      <c r="D362" s="10" t="s">
        <v>1022</v>
      </c>
      <c r="E362" s="10" t="s">
        <v>711</v>
      </c>
      <c r="F362" s="10">
        <v>36.717768999999997</v>
      </c>
      <c r="G362" s="10">
        <v>42.353532999999999</v>
      </c>
      <c r="H362" s="10" t="s">
        <v>551</v>
      </c>
      <c r="I362" s="10" t="s">
        <v>625</v>
      </c>
      <c r="J362" s="10"/>
      <c r="K362" s="11">
        <v>100</v>
      </c>
      <c r="L362" s="11">
        <v>600</v>
      </c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>
        <v>100</v>
      </c>
      <c r="Z362" s="11"/>
      <c r="AA362" s="11"/>
      <c r="AB362" s="11"/>
      <c r="AC362" s="11"/>
      <c r="AD362" s="11"/>
      <c r="AE362" s="11"/>
      <c r="AF362" s="11">
        <v>100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>
        <v>100</v>
      </c>
      <c r="AS362" s="11"/>
      <c r="AT362" s="11"/>
      <c r="AU362" s="11"/>
      <c r="AV362" s="20" t="str">
        <f>HYPERLINK("http://www.openstreetmap.org/?mlat=36.7178&amp;mlon=42.3535&amp;zoom=12#map=12/36.7178/42.3535","Maplink1")</f>
        <v>Maplink1</v>
      </c>
      <c r="AW362" s="20" t="str">
        <f>HYPERLINK("https://www.google.iq/maps/search/+36.7178,42.3535/@36.7178,42.3535,14z?hl=en","Maplink2")</f>
        <v>Maplink2</v>
      </c>
      <c r="AX362" s="20" t="str">
        <f>HYPERLINK("http://www.bing.com/maps/?lvl=14&amp;sty=h&amp;cp=36.7178~42.3535&amp;sp=point.36.7178_42.3535_Al Angaa","Maplink3")</f>
        <v>Maplink3</v>
      </c>
    </row>
    <row r="363" spans="1:50" x14ac:dyDescent="0.25">
      <c r="A363" s="9">
        <v>25689</v>
      </c>
      <c r="B363" s="10" t="s">
        <v>20</v>
      </c>
      <c r="C363" s="10" t="s">
        <v>623</v>
      </c>
      <c r="D363" s="10" t="s">
        <v>905</v>
      </c>
      <c r="E363" s="10" t="s">
        <v>696</v>
      </c>
      <c r="F363" s="10">
        <v>36.816029</v>
      </c>
      <c r="G363" s="10">
        <v>42.421132999999998</v>
      </c>
      <c r="H363" s="10" t="s">
        <v>551</v>
      </c>
      <c r="I363" s="10" t="s">
        <v>625</v>
      </c>
      <c r="J363" s="10"/>
      <c r="K363" s="11">
        <v>50</v>
      </c>
      <c r="L363" s="11">
        <v>300</v>
      </c>
      <c r="M363" s="11"/>
      <c r="N363" s="11"/>
      <c r="O363" s="11"/>
      <c r="P363" s="11"/>
      <c r="Q363" s="11">
        <v>42</v>
      </c>
      <c r="R363" s="11"/>
      <c r="S363" s="11"/>
      <c r="T363" s="11"/>
      <c r="U363" s="11"/>
      <c r="V363" s="11"/>
      <c r="W363" s="11"/>
      <c r="X363" s="11"/>
      <c r="Y363" s="11">
        <v>8</v>
      </c>
      <c r="Z363" s="11"/>
      <c r="AA363" s="11"/>
      <c r="AB363" s="11"/>
      <c r="AC363" s="11"/>
      <c r="AD363" s="11"/>
      <c r="AE363" s="11"/>
      <c r="AF363" s="11">
        <v>50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50</v>
      </c>
      <c r="AS363" s="11"/>
      <c r="AT363" s="11"/>
      <c r="AU363" s="11"/>
      <c r="AV363" s="20" t="str">
        <f>HYPERLINK("http://www.openstreetmap.org/?mlat=36.816&amp;mlon=42.4211&amp;zoom=12#map=12/36.816/42.4211","Maplink1")</f>
        <v>Maplink1</v>
      </c>
      <c r="AW363" s="20" t="str">
        <f>HYPERLINK("https://www.google.iq/maps/search/+36.816,42.4211/@36.816,42.4211,14z?hl=en","Maplink2")</f>
        <v>Maplink2</v>
      </c>
      <c r="AX363" s="20" t="str">
        <f>HYPERLINK("http://www.bing.com/maps/?lvl=14&amp;sty=h&amp;cp=36.816~42.4211&amp;sp=point.36.816_42.4211_Sahel hamad","Maplink3")</f>
        <v>Maplink3</v>
      </c>
    </row>
    <row r="364" spans="1:50" x14ac:dyDescent="0.25">
      <c r="A364" s="9">
        <v>23648</v>
      </c>
      <c r="B364" s="10" t="s">
        <v>20</v>
      </c>
      <c r="C364" s="10" t="s">
        <v>623</v>
      </c>
      <c r="D364" s="10" t="s">
        <v>697</v>
      </c>
      <c r="E364" s="10" t="s">
        <v>698</v>
      </c>
      <c r="F364" s="10">
        <v>37.040596999999998</v>
      </c>
      <c r="G364" s="10">
        <v>42.372691000000003</v>
      </c>
      <c r="H364" s="10" t="s">
        <v>551</v>
      </c>
      <c r="I364" s="10" t="s">
        <v>625</v>
      </c>
      <c r="J364" s="10" t="s">
        <v>699</v>
      </c>
      <c r="K364" s="11">
        <v>200</v>
      </c>
      <c r="L364" s="11">
        <v>1200</v>
      </c>
      <c r="M364" s="11"/>
      <c r="N364" s="11"/>
      <c r="O364" s="11"/>
      <c r="P364" s="11"/>
      <c r="Q364" s="11">
        <v>200</v>
      </c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>
        <v>200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>
        <v>200</v>
      </c>
      <c r="AS364" s="11"/>
      <c r="AT364" s="11"/>
      <c r="AU364" s="11"/>
      <c r="AV364" s="20" t="str">
        <f>HYPERLINK("http://www.openstreetmap.org/?mlat=37.0406&amp;mlon=42.3727&amp;zoom=12#map=12/37.0406/42.3727","Maplink1")</f>
        <v>Maplink1</v>
      </c>
      <c r="AW364" s="20" t="str">
        <f>HYPERLINK("https://www.google.iq/maps/search/+37.0406,42.3727/@37.0406,42.3727,14z?hl=en","Maplink2")</f>
        <v>Maplink2</v>
      </c>
      <c r="AX364" s="20" t="str">
        <f>HYPERLINK("http://www.bing.com/maps/?lvl=14&amp;sty=h&amp;cp=37.0406~42.3727&amp;sp=point.37.0406_42.3727_Sahilah Village","Maplink3")</f>
        <v>Maplink3</v>
      </c>
    </row>
    <row r="365" spans="1:50" x14ac:dyDescent="0.25">
      <c r="A365" s="9">
        <v>17814</v>
      </c>
      <c r="B365" s="10" t="s">
        <v>20</v>
      </c>
      <c r="C365" s="10" t="s">
        <v>623</v>
      </c>
      <c r="D365" s="10" t="s">
        <v>700</v>
      </c>
      <c r="E365" s="10" t="s">
        <v>1181</v>
      </c>
      <c r="F365" s="10">
        <v>36.748497999999998</v>
      </c>
      <c r="G365" s="10">
        <v>42.305275999999999</v>
      </c>
      <c r="H365" s="10" t="s">
        <v>551</v>
      </c>
      <c r="I365" s="10" t="s">
        <v>625</v>
      </c>
      <c r="J365" s="10" t="s">
        <v>701</v>
      </c>
      <c r="K365" s="11">
        <v>540</v>
      </c>
      <c r="L365" s="11">
        <v>3240</v>
      </c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>
        <v>540</v>
      </c>
      <c r="Z365" s="11"/>
      <c r="AA365" s="11"/>
      <c r="AB365" s="11"/>
      <c r="AC365" s="11"/>
      <c r="AD365" s="11"/>
      <c r="AE365" s="11"/>
      <c r="AF365" s="11">
        <v>540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>
        <v>540</v>
      </c>
      <c r="AS365" s="11"/>
      <c r="AT365" s="11"/>
      <c r="AU365" s="11"/>
      <c r="AV365" s="20" t="str">
        <f>HYPERLINK("http://www.openstreetmap.org/?mlat=36.7485&amp;mlon=42.3053&amp;zoom=12#map=12/36.7485/42.3053","Maplink1")</f>
        <v>Maplink1</v>
      </c>
      <c r="AW365" s="20" t="str">
        <f>HYPERLINK("https://www.google.iq/maps/search/+36.7485,42.3053/@36.7485,42.3053,14z?hl=en","Maplink2")</f>
        <v>Maplink2</v>
      </c>
      <c r="AX365" s="20" t="str">
        <f>HYPERLINK("http://www.bing.com/maps/?lvl=14&amp;sty=h&amp;cp=36.7485~42.3053&amp;sp=point.36.7485_42.3053_Tal alhuaa","Maplink3")</f>
        <v>Maplink3</v>
      </c>
    </row>
    <row r="366" spans="1:50" x14ac:dyDescent="0.25">
      <c r="A366" s="9">
        <v>17614</v>
      </c>
      <c r="B366" s="10" t="s">
        <v>20</v>
      </c>
      <c r="C366" s="10" t="s">
        <v>623</v>
      </c>
      <c r="D366" s="10" t="s">
        <v>906</v>
      </c>
      <c r="E366" s="10" t="s">
        <v>703</v>
      </c>
      <c r="F366" s="10">
        <v>36.727243999999999</v>
      </c>
      <c r="G366" s="10">
        <v>42.257334</v>
      </c>
      <c r="H366" s="10" t="s">
        <v>551</v>
      </c>
      <c r="I366" s="10" t="s">
        <v>625</v>
      </c>
      <c r="J366" s="10" t="s">
        <v>704</v>
      </c>
      <c r="K366" s="11">
        <v>438</v>
      </c>
      <c r="L366" s="11">
        <v>2628</v>
      </c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>
        <v>438</v>
      </c>
      <c r="Z366" s="11"/>
      <c r="AA366" s="11"/>
      <c r="AB366" s="11"/>
      <c r="AC366" s="11"/>
      <c r="AD366" s="11"/>
      <c r="AE366" s="11"/>
      <c r="AF366" s="11">
        <v>438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>
        <v>438</v>
      </c>
      <c r="AS366" s="11"/>
      <c r="AT366" s="11"/>
      <c r="AU366" s="11"/>
      <c r="AV366" s="20" t="str">
        <f>HYPERLINK("http://www.openstreetmap.org/?mlat=36.7272&amp;mlon=42.2573&amp;zoom=12#map=12/36.7272/42.2573","Maplink1")</f>
        <v>Maplink1</v>
      </c>
      <c r="AW366" s="20" t="str">
        <f>HYPERLINK("https://www.google.iq/maps/search/+36.7272,42.2573/@36.7272,42.2573,14z?hl=en","Maplink2")</f>
        <v>Maplink2</v>
      </c>
      <c r="AX366" s="20" t="str">
        <f>HYPERLINK("http://www.bing.com/maps/?lvl=14&amp;sty=h&amp;cp=36.7272~42.2573&amp;sp=point.36.7272_42.2573_Tal Ismair village","Maplink3")</f>
        <v>Maplink3</v>
      </c>
    </row>
    <row r="367" spans="1:50" x14ac:dyDescent="0.25">
      <c r="A367" s="9">
        <v>17944</v>
      </c>
      <c r="B367" s="10" t="s">
        <v>20</v>
      </c>
      <c r="C367" s="10" t="s">
        <v>623</v>
      </c>
      <c r="D367" s="10" t="s">
        <v>1023</v>
      </c>
      <c r="E367" s="10" t="s">
        <v>708</v>
      </c>
      <c r="F367" s="10">
        <v>36.619999999999997</v>
      </c>
      <c r="G367" s="10">
        <v>42.59</v>
      </c>
      <c r="H367" s="10" t="s">
        <v>551</v>
      </c>
      <c r="I367" s="10" t="s">
        <v>625</v>
      </c>
      <c r="J367" s="10" t="s">
        <v>709</v>
      </c>
      <c r="K367" s="11">
        <v>753</v>
      </c>
      <c r="L367" s="11">
        <v>4518</v>
      </c>
      <c r="M367" s="11"/>
      <c r="N367" s="11"/>
      <c r="O367" s="11"/>
      <c r="P367" s="11"/>
      <c r="Q367" s="11">
        <v>603</v>
      </c>
      <c r="R367" s="11"/>
      <c r="S367" s="11"/>
      <c r="T367" s="11"/>
      <c r="U367" s="11"/>
      <c r="V367" s="11"/>
      <c r="W367" s="11"/>
      <c r="X367" s="11"/>
      <c r="Y367" s="11">
        <v>150</v>
      </c>
      <c r="Z367" s="11"/>
      <c r="AA367" s="11"/>
      <c r="AB367" s="11"/>
      <c r="AC367" s="11"/>
      <c r="AD367" s="11"/>
      <c r="AE367" s="11"/>
      <c r="AF367" s="11">
        <v>753</v>
      </c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>
        <v>753</v>
      </c>
      <c r="AS367" s="11"/>
      <c r="AT367" s="11"/>
      <c r="AU367" s="11"/>
      <c r="AV367" s="20" t="str">
        <f>HYPERLINK("http://www.openstreetmap.org/?mlat=36.62&amp;mlon=42.59&amp;zoom=12#map=12/36.62/42.59","Maplink1")</f>
        <v>Maplink1</v>
      </c>
      <c r="AW367" s="20" t="str">
        <f>HYPERLINK("https://www.google.iq/maps/search/+36.62,42.59/@36.62,42.59,14z?hl=en","Maplink2")</f>
        <v>Maplink2</v>
      </c>
      <c r="AX367" s="20" t="str">
        <f>HYPERLINK("http://www.bing.com/maps/?lvl=14&amp;sty=h&amp;cp=36.62~42.59&amp;sp=point.36.62_42.59_Tal mus village","Maplink3")</f>
        <v>Maplink3</v>
      </c>
    </row>
    <row r="368" spans="1:50" x14ac:dyDescent="0.25">
      <c r="A368" s="9">
        <v>18304</v>
      </c>
      <c r="B368" s="10" t="s">
        <v>20</v>
      </c>
      <c r="C368" s="10" t="s">
        <v>623</v>
      </c>
      <c r="D368" s="10" t="s">
        <v>1024</v>
      </c>
      <c r="E368" s="10" t="s">
        <v>369</v>
      </c>
      <c r="F368" s="10">
        <v>36.367207000000001</v>
      </c>
      <c r="G368" s="10">
        <v>42.432093999999999</v>
      </c>
      <c r="H368" s="10" t="s">
        <v>551</v>
      </c>
      <c r="I368" s="10" t="s">
        <v>625</v>
      </c>
      <c r="J368" s="10"/>
      <c r="K368" s="11">
        <v>25</v>
      </c>
      <c r="L368" s="11">
        <v>150</v>
      </c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>
        <v>25</v>
      </c>
      <c r="Z368" s="11"/>
      <c r="AA368" s="11"/>
      <c r="AB368" s="11"/>
      <c r="AC368" s="11"/>
      <c r="AD368" s="11"/>
      <c r="AE368" s="11"/>
      <c r="AF368" s="11">
        <v>25</v>
      </c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>
        <v>25</v>
      </c>
      <c r="AS368" s="11"/>
      <c r="AT368" s="11"/>
      <c r="AU368" s="11"/>
      <c r="AV368" s="20" t="str">
        <f>HYPERLINK("http://www.openstreetmap.org/?mlat=36.3672&amp;mlon=42.4321&amp;zoom=12#map=12/36.3672/42.4321","Maplink1")</f>
        <v>Maplink1</v>
      </c>
      <c r="AW368" s="20" t="str">
        <f>HYPERLINK("https://www.google.iq/maps/search/+36.3672,42.4321/@36.3672,42.4321,14z?hl=en","Maplink2")</f>
        <v>Maplink2</v>
      </c>
      <c r="AX368" s="20" t="str">
        <f>HYPERLINK("http://www.bing.com/maps/?lvl=14&amp;sty=h&amp;cp=36.3672~42.4321&amp;sp=point.36.3672_42.4321_Hay Al-Mualemen","Maplink3")</f>
        <v>Maplink3</v>
      </c>
    </row>
    <row r="369" spans="1:50" x14ac:dyDescent="0.25">
      <c r="A369" s="9">
        <v>18303</v>
      </c>
      <c r="B369" s="10" t="s">
        <v>20</v>
      </c>
      <c r="C369" s="10" t="s">
        <v>623</v>
      </c>
      <c r="D369" s="10" t="s">
        <v>1025</v>
      </c>
      <c r="E369" s="10" t="s">
        <v>491</v>
      </c>
      <c r="F369" s="10">
        <v>36.388554999999997</v>
      </c>
      <c r="G369" s="10">
        <v>42.463985999999998</v>
      </c>
      <c r="H369" s="10" t="s">
        <v>551</v>
      </c>
      <c r="I369" s="10" t="s">
        <v>625</v>
      </c>
      <c r="J369" s="10" t="s">
        <v>663</v>
      </c>
      <c r="K369" s="11">
        <v>16</v>
      </c>
      <c r="L369" s="11">
        <v>96</v>
      </c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>
        <v>16</v>
      </c>
      <c r="Z369" s="11"/>
      <c r="AA369" s="11"/>
      <c r="AB369" s="11"/>
      <c r="AC369" s="11"/>
      <c r="AD369" s="11"/>
      <c r="AE369" s="11"/>
      <c r="AF369" s="11">
        <v>16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>
        <v>16</v>
      </c>
      <c r="AS369" s="11"/>
      <c r="AT369" s="11"/>
      <c r="AU369" s="11"/>
      <c r="AV369" s="20" t="str">
        <f>HYPERLINK("http://www.openstreetmap.org/?mlat=36.3886&amp;mlon=42.464&amp;zoom=12#map=12/36.3886/42.464","Maplink1")</f>
        <v>Maplink1</v>
      </c>
      <c r="AW369" s="20" t="str">
        <f>HYPERLINK("https://www.google.iq/maps/search/+36.3886,42.464/@36.3886,42.464,14z?hl=en","Maplink2")</f>
        <v>Maplink2</v>
      </c>
      <c r="AX369" s="20" t="str">
        <f>HYPERLINK("http://www.bing.com/maps/?lvl=14&amp;sty=h&amp;cp=36.3886~42.464&amp;sp=point.36.3886_42.464_Hay Al-Salam","Maplink3")</f>
        <v>Maplink3</v>
      </c>
    </row>
    <row r="370" spans="1:50" x14ac:dyDescent="0.25">
      <c r="A370" s="9">
        <v>27356</v>
      </c>
      <c r="B370" s="10" t="s">
        <v>20</v>
      </c>
      <c r="C370" s="10" t="s">
        <v>623</v>
      </c>
      <c r="D370" s="10" t="s">
        <v>712</v>
      </c>
      <c r="E370" s="10" t="s">
        <v>1182</v>
      </c>
      <c r="F370" s="10">
        <v>36.554656000000001</v>
      </c>
      <c r="G370" s="10">
        <v>42.099445000000003</v>
      </c>
      <c r="H370" s="10" t="s">
        <v>551</v>
      </c>
      <c r="I370" s="10" t="s">
        <v>625</v>
      </c>
      <c r="J370" s="10"/>
      <c r="K370" s="11">
        <v>104</v>
      </c>
      <c r="L370" s="11">
        <v>624</v>
      </c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>
        <v>104</v>
      </c>
      <c r="Z370" s="11"/>
      <c r="AA370" s="11"/>
      <c r="AB370" s="11"/>
      <c r="AC370" s="11"/>
      <c r="AD370" s="11"/>
      <c r="AE370" s="11"/>
      <c r="AF370" s="11">
        <v>104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>
        <v>102</v>
      </c>
      <c r="AS370" s="11"/>
      <c r="AT370" s="11"/>
      <c r="AU370" s="11">
        <v>2</v>
      </c>
      <c r="AV370" s="20" t="str">
        <f>HYPERLINK("http://www.openstreetmap.org/?mlat=36.5547&amp;mlon=42.0994&amp;zoom=12#map=12/36.5547/42.0994","Maplink1")</f>
        <v>Maplink1</v>
      </c>
      <c r="AW370" s="20" t="str">
        <f>HYPERLINK("https://www.google.iq/maps/search/+36.5547,42.0994/@36.5547,42.0994,14z?hl=en","Maplink2")</f>
        <v>Maplink2</v>
      </c>
      <c r="AX370" s="20" t="str">
        <f>HYPERLINK("http://www.bing.com/maps/?lvl=14&amp;sty=h&amp;cp=36.5547~42.0994&amp;sp=point.36.5547_42.0994_Tel shor","Maplink3")</f>
        <v>Maplink3</v>
      </c>
    </row>
    <row r="371" spans="1:50" x14ac:dyDescent="0.25">
      <c r="A371" s="9">
        <v>25819</v>
      </c>
      <c r="B371" s="10" t="s">
        <v>20</v>
      </c>
      <c r="C371" s="10" t="s">
        <v>623</v>
      </c>
      <c r="D371" s="10" t="s">
        <v>713</v>
      </c>
      <c r="E371" s="10" t="s">
        <v>452</v>
      </c>
      <c r="F371" s="10">
        <v>36.373448000000003</v>
      </c>
      <c r="G371" s="10">
        <v>42.465091999999999</v>
      </c>
      <c r="H371" s="10" t="s">
        <v>551</v>
      </c>
      <c r="I371" s="10" t="s">
        <v>625</v>
      </c>
      <c r="J371" s="10"/>
      <c r="K371" s="11">
        <v>53</v>
      </c>
      <c r="L371" s="11">
        <v>318</v>
      </c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>
        <v>53</v>
      </c>
      <c r="Z371" s="11"/>
      <c r="AA371" s="11"/>
      <c r="AB371" s="11"/>
      <c r="AC371" s="11"/>
      <c r="AD371" s="11"/>
      <c r="AE371" s="11"/>
      <c r="AF371" s="11">
        <v>53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>
        <v>53</v>
      </c>
      <c r="AS371" s="11"/>
      <c r="AT371" s="11"/>
      <c r="AU371" s="11"/>
      <c r="AV371" s="20" t="str">
        <f>HYPERLINK("http://www.openstreetmap.org/?mlat=36.3869&amp;mlon=42.4672&amp;zoom=12#map=12/36.3869/42.4672","Maplink1")</f>
        <v>Maplink1</v>
      </c>
      <c r="AW371" s="20" t="str">
        <f>HYPERLINK("https://www.google.iq/maps/search/+36.3869,42.4672/@36.3869,42.4672,14z?hl=en","Maplink2")</f>
        <v>Maplink2</v>
      </c>
      <c r="AX371" s="20" t="str">
        <f>HYPERLINK("http://www.bing.com/maps/?lvl=14&amp;sty=h&amp;cp=36.3869~42.4672&amp;sp=point.36.3869_42.4672_Telafar-Al Noor","Maplink3")</f>
        <v>Maplink3</v>
      </c>
    </row>
    <row r="372" spans="1:50" x14ac:dyDescent="0.25">
      <c r="A372" s="9">
        <v>25705</v>
      </c>
      <c r="B372" s="10" t="s">
        <v>20</v>
      </c>
      <c r="C372" s="10" t="s">
        <v>623</v>
      </c>
      <c r="D372" s="10" t="s">
        <v>714</v>
      </c>
      <c r="E372" s="10" t="s">
        <v>715</v>
      </c>
      <c r="F372" s="10">
        <v>36.577663999999999</v>
      </c>
      <c r="G372" s="10">
        <v>42.607740999999997</v>
      </c>
      <c r="H372" s="10" t="s">
        <v>551</v>
      </c>
      <c r="I372" s="10" t="s">
        <v>625</v>
      </c>
      <c r="J372" s="10"/>
      <c r="K372" s="11">
        <v>25</v>
      </c>
      <c r="L372" s="11">
        <v>150</v>
      </c>
      <c r="M372" s="11"/>
      <c r="N372" s="11"/>
      <c r="O372" s="11"/>
      <c r="P372" s="11"/>
      <c r="Q372" s="11">
        <v>25</v>
      </c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>
        <v>25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>
        <v>25</v>
      </c>
      <c r="AS372" s="11"/>
      <c r="AT372" s="11"/>
      <c r="AU372" s="11"/>
      <c r="AV372" s="20" t="str">
        <f>HYPERLINK("http://www.openstreetmap.org/?mlat=36.5777&amp;mlon=42.6077&amp;zoom=12#map=12/36.5777/42.6077","Maplink1")</f>
        <v>Maplink1</v>
      </c>
      <c r="AW372" s="20" t="str">
        <f>HYPERLINK("https://www.google.iq/maps/search/+36.5777,42.6077/@36.5777,42.6077,14z?hl=en","Maplink2")</f>
        <v>Maplink2</v>
      </c>
      <c r="AX372" s="20" t="str">
        <f>HYPERLINK("http://www.bing.com/maps/?lvl=14&amp;sty=h&amp;cp=36.5777~42.6077&amp;sp=point.36.5777_42.6077_Wadi shour","Maplink3")</f>
        <v>Maplink3</v>
      </c>
    </row>
    <row r="373" spans="1:50" x14ac:dyDescent="0.25">
      <c r="A373" s="9">
        <v>25809</v>
      </c>
      <c r="B373" s="10" t="s">
        <v>20</v>
      </c>
      <c r="C373" s="10" t="s">
        <v>623</v>
      </c>
      <c r="D373" s="10" t="s">
        <v>716</v>
      </c>
      <c r="E373" s="10" t="s">
        <v>717</v>
      </c>
      <c r="F373" s="10">
        <v>36.710863000000003</v>
      </c>
      <c r="G373" s="10">
        <v>42.61486</v>
      </c>
      <c r="H373" s="10" t="s">
        <v>551</v>
      </c>
      <c r="I373" s="10" t="s">
        <v>625</v>
      </c>
      <c r="J373" s="10"/>
      <c r="K373" s="11">
        <v>280</v>
      </c>
      <c r="L373" s="11">
        <v>1680</v>
      </c>
      <c r="M373" s="11"/>
      <c r="N373" s="11"/>
      <c r="O373" s="11"/>
      <c r="P373" s="11"/>
      <c r="Q373" s="11">
        <v>280</v>
      </c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>
        <v>280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>
        <v>280</v>
      </c>
      <c r="AS373" s="11"/>
      <c r="AT373" s="11"/>
      <c r="AU373" s="11"/>
      <c r="AV373" s="20" t="str">
        <f>HYPERLINK("http://www.openstreetmap.org/?mlat=36.7109&amp;mlon=42.6149&amp;zoom=12#map=12/36.7109/42.6149","Maplink1")</f>
        <v>Maplink1</v>
      </c>
      <c r="AW373" s="20" t="str">
        <f>HYPERLINK("https://www.google.iq/maps/search/+36.7109,42.6149/@36.7109,42.6149,14z?hl=en","Maplink2")</f>
        <v>Maplink2</v>
      </c>
      <c r="AX373" s="20" t="str">
        <f>HYPERLINK("http://www.bing.com/maps/?lvl=14&amp;sty=h&amp;cp=36.7109~42.6149&amp;sp=point.36.7109_42.6149_Zummar-domez complex","Maplink3")</f>
        <v>Maplink3</v>
      </c>
    </row>
    <row r="374" spans="1:50" x14ac:dyDescent="0.25">
      <c r="A374" s="9">
        <v>17949</v>
      </c>
      <c r="B374" s="10" t="s">
        <v>20</v>
      </c>
      <c r="C374" s="10" t="s">
        <v>718</v>
      </c>
      <c r="D374" s="10" t="s">
        <v>1026</v>
      </c>
      <c r="E374" s="10" t="s">
        <v>721</v>
      </c>
      <c r="F374" s="10">
        <v>36.679113000000001</v>
      </c>
      <c r="G374" s="10">
        <v>43.014702999999997</v>
      </c>
      <c r="H374" s="10" t="s">
        <v>551</v>
      </c>
      <c r="I374" s="10" t="s">
        <v>720</v>
      </c>
      <c r="J374" s="10" t="s">
        <v>722</v>
      </c>
      <c r="K374" s="11">
        <v>180</v>
      </c>
      <c r="L374" s="11">
        <v>1080</v>
      </c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>
        <v>180</v>
      </c>
      <c r="Z374" s="11"/>
      <c r="AA374" s="11"/>
      <c r="AB374" s="11"/>
      <c r="AC374" s="11"/>
      <c r="AD374" s="11"/>
      <c r="AE374" s="11"/>
      <c r="AF374" s="11">
        <v>180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>
        <v>180</v>
      </c>
      <c r="AS374" s="11"/>
      <c r="AT374" s="11"/>
      <c r="AU374" s="11"/>
      <c r="AV374" s="20" t="str">
        <f>HYPERLINK("http://www.openstreetmap.org/?mlat=36.6791&amp;mlon=43.0147&amp;zoom=12#map=12/36.6791/43.0147","Maplink1")</f>
        <v>Maplink1</v>
      </c>
      <c r="AW374" s="20" t="str">
        <f>HYPERLINK("https://www.google.iq/maps/search/+36.6791,43.0147/@36.6791,43.0147,14z?hl=en","Maplink2")</f>
        <v>Maplink2</v>
      </c>
      <c r="AX374" s="20" t="str">
        <f>HYPERLINK("http://www.bing.com/maps/?lvl=14&amp;sty=h&amp;cp=36.6791~43.0147&amp;sp=point.36.6791_43.0147_Alqosh-Derston","Maplink3")</f>
        <v>Maplink3</v>
      </c>
    </row>
    <row r="375" spans="1:50" x14ac:dyDescent="0.25">
      <c r="A375" s="9">
        <v>17572</v>
      </c>
      <c r="B375" s="10" t="s">
        <v>20</v>
      </c>
      <c r="C375" s="10" t="s">
        <v>718</v>
      </c>
      <c r="D375" s="10" t="s">
        <v>723</v>
      </c>
      <c r="E375" s="10" t="s">
        <v>724</v>
      </c>
      <c r="F375" s="10">
        <v>36.595987999999998</v>
      </c>
      <c r="G375" s="10">
        <v>42.879147000000003</v>
      </c>
      <c r="H375" s="10" t="s">
        <v>551</v>
      </c>
      <c r="I375" s="10" t="s">
        <v>720</v>
      </c>
      <c r="J375" s="10" t="s">
        <v>725</v>
      </c>
      <c r="K375" s="11">
        <v>56</v>
      </c>
      <c r="L375" s="11">
        <v>336</v>
      </c>
      <c r="M375" s="11"/>
      <c r="N375" s="11"/>
      <c r="O375" s="11"/>
      <c r="P375" s="11"/>
      <c r="Q375" s="11">
        <v>56</v>
      </c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>
        <v>56</v>
      </c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>
        <v>56</v>
      </c>
      <c r="AS375" s="11"/>
      <c r="AT375" s="11"/>
      <c r="AU375" s="11"/>
      <c r="AV375" s="20" t="str">
        <f>HYPERLINK("http://www.openstreetmap.org/?mlat=36.596&amp;mlon=42.8791&amp;zoom=12#map=12/36.596/42.8791","Maplink1")</f>
        <v>Maplink1</v>
      </c>
      <c r="AW375" s="20" t="str">
        <f>HYPERLINK("https://www.google.iq/maps/search/+36.596,42.8791/@36.596,42.8791,14z?hl=en","Maplink2")</f>
        <v>Maplink2</v>
      </c>
      <c r="AX375" s="20" t="str">
        <f>HYPERLINK("http://www.bing.com/maps/?lvl=14&amp;sty=h&amp;cp=36.596~42.8791&amp;sp=point.36.596_42.8791_Babnet Village ","Maplink3")</f>
        <v>Maplink3</v>
      </c>
    </row>
    <row r="376" spans="1:50" x14ac:dyDescent="0.25">
      <c r="A376" s="9">
        <v>27350</v>
      </c>
      <c r="B376" s="10" t="s">
        <v>20</v>
      </c>
      <c r="C376" s="10" t="s">
        <v>718</v>
      </c>
      <c r="D376" s="10" t="s">
        <v>727</v>
      </c>
      <c r="E376" s="10" t="s">
        <v>728</v>
      </c>
      <c r="F376" s="10">
        <v>36.622458999999999</v>
      </c>
      <c r="G376" s="10">
        <v>42.831826</v>
      </c>
      <c r="H376" s="10" t="s">
        <v>551</v>
      </c>
      <c r="I376" s="10" t="s">
        <v>720</v>
      </c>
      <c r="J376" s="10"/>
      <c r="K376" s="11">
        <v>657</v>
      </c>
      <c r="L376" s="11">
        <v>3942</v>
      </c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>
        <v>657</v>
      </c>
      <c r="Z376" s="11"/>
      <c r="AA376" s="11"/>
      <c r="AB376" s="11"/>
      <c r="AC376" s="11"/>
      <c r="AD376" s="11"/>
      <c r="AE376" s="11"/>
      <c r="AF376" s="11">
        <v>657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>
        <v>657</v>
      </c>
      <c r="AS376" s="11"/>
      <c r="AT376" s="11"/>
      <c r="AU376" s="11"/>
      <c r="AV376" s="20" t="str">
        <f>HYPERLINK("http://www.openstreetmap.org/?mlat=36.6225&amp;mlon=42.8318&amp;zoom=12#map=12/36.6225/42.8318","Maplink1")</f>
        <v>Maplink1</v>
      </c>
      <c r="AW376" s="20" t="str">
        <f>HYPERLINK("https://www.google.iq/maps/search/+36.6225,42.8318/@36.6225,42.8318,14z?hl=en","Maplink2")</f>
        <v>Maplink2</v>
      </c>
      <c r="AX376" s="20" t="str">
        <f>HYPERLINK("http://www.bing.com/maps/?lvl=14&amp;sty=h&amp;cp=36.6225~42.8318&amp;sp=point.36.6225_42.8318_Mosul Dam","Maplink3")</f>
        <v>Maplink3</v>
      </c>
    </row>
    <row r="377" spans="1:50" x14ac:dyDescent="0.25">
      <c r="A377" s="9">
        <v>25823</v>
      </c>
      <c r="B377" s="10" t="s">
        <v>20</v>
      </c>
      <c r="C377" s="10" t="s">
        <v>718</v>
      </c>
      <c r="D377" s="10" t="s">
        <v>1027</v>
      </c>
      <c r="E377" s="10" t="s">
        <v>719</v>
      </c>
      <c r="F377" s="10">
        <v>36.528747000000003</v>
      </c>
      <c r="G377" s="10">
        <v>42.755963000000001</v>
      </c>
      <c r="H377" s="10" t="s">
        <v>551</v>
      </c>
      <c r="I377" s="10" t="s">
        <v>720</v>
      </c>
      <c r="J377" s="10"/>
      <c r="K377" s="11">
        <v>480</v>
      </c>
      <c r="L377" s="11">
        <v>2880</v>
      </c>
      <c r="M377" s="11"/>
      <c r="N377" s="11"/>
      <c r="O377" s="11"/>
      <c r="P377" s="11"/>
      <c r="Q377" s="11">
        <v>480</v>
      </c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>
        <v>480</v>
      </c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>
        <v>480</v>
      </c>
      <c r="AS377" s="11"/>
      <c r="AT377" s="11"/>
      <c r="AU377" s="11"/>
      <c r="AV377" s="20" t="str">
        <f>HYPERLINK("http://www.openstreetmap.org/?mlat=36.5287&amp;mlon=42.756&amp;zoom=12#map=12/36.5287/42.756","Maplink1")</f>
        <v>Maplink1</v>
      </c>
      <c r="AW377" s="20" t="str">
        <f>HYPERLINK("https://www.google.iq/maps/search/+36.5287,42.756/@36.5287,42.756,14z?hl=en","Maplink2")</f>
        <v>Maplink2</v>
      </c>
      <c r="AX377" s="20" t="str">
        <f>HYPERLINK("http://www.bing.com/maps/?lvl=14&amp;sty=h&amp;cp=36.5287~42.756&amp;sp=point.36.5287_42.756_Al-kasaba Al-qadema","Maplink3")</f>
        <v>Maplink3</v>
      </c>
    </row>
    <row r="378" spans="1:50" x14ac:dyDescent="0.25">
      <c r="A378" s="9">
        <v>25822</v>
      </c>
      <c r="B378" s="10" t="s">
        <v>20</v>
      </c>
      <c r="C378" s="10" t="s">
        <v>718</v>
      </c>
      <c r="D378" s="10" t="s">
        <v>1028</v>
      </c>
      <c r="E378" s="10" t="s">
        <v>657</v>
      </c>
      <c r="F378" s="10">
        <v>36.533123000000003</v>
      </c>
      <c r="G378" s="10">
        <v>42.760460999999999</v>
      </c>
      <c r="H378" s="10" t="s">
        <v>551</v>
      </c>
      <c r="I378" s="10" t="s">
        <v>720</v>
      </c>
      <c r="J378" s="10"/>
      <c r="K378" s="11">
        <v>350</v>
      </c>
      <c r="L378" s="11">
        <v>2100</v>
      </c>
      <c r="M378" s="11"/>
      <c r="N378" s="11"/>
      <c r="O378" s="11"/>
      <c r="P378" s="11"/>
      <c r="Q378" s="11">
        <v>350</v>
      </c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>
        <v>350</v>
      </c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>
        <v>350</v>
      </c>
      <c r="AS378" s="11"/>
      <c r="AT378" s="11"/>
      <c r="AU378" s="11"/>
      <c r="AV378" s="20" t="str">
        <f>HYPERLINK("http://www.openstreetmap.org/?mlat=36.5331&amp;mlon=42.7605&amp;zoom=12#map=12/36.5331/42.7605","Maplink1")</f>
        <v>Maplink1</v>
      </c>
      <c r="AW378" s="20" t="str">
        <f>HYPERLINK("https://www.google.iq/maps/search/+36.5331,42.7605/@36.5331,42.7605,14z?hl=en","Maplink2")</f>
        <v>Maplink2</v>
      </c>
      <c r="AX378" s="20" t="str">
        <f>HYPERLINK("http://www.bing.com/maps/?lvl=14&amp;sty=h&amp;cp=36.5331~42.7605&amp;sp=point.36.5331_42.7605_Hay Al-askari","Maplink3")</f>
        <v>Maplink3</v>
      </c>
    </row>
    <row r="379" spans="1:50" x14ac:dyDescent="0.25">
      <c r="A379" s="9">
        <v>25824</v>
      </c>
      <c r="B379" s="10" t="s">
        <v>20</v>
      </c>
      <c r="C379" s="10" t="s">
        <v>718</v>
      </c>
      <c r="D379" s="10" t="s">
        <v>1029</v>
      </c>
      <c r="E379" s="10" t="s">
        <v>726</v>
      </c>
      <c r="F379" s="10">
        <v>36.535432999999998</v>
      </c>
      <c r="G379" s="10">
        <v>42.758862000000001</v>
      </c>
      <c r="H379" s="10" t="s">
        <v>551</v>
      </c>
      <c r="I379" s="10" t="s">
        <v>720</v>
      </c>
      <c r="J379" s="10"/>
      <c r="K379" s="11">
        <v>350</v>
      </c>
      <c r="L379" s="11">
        <v>2100</v>
      </c>
      <c r="M379" s="11"/>
      <c r="N379" s="11"/>
      <c r="O379" s="11"/>
      <c r="P379" s="11"/>
      <c r="Q379" s="11">
        <v>350</v>
      </c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>
        <v>350</v>
      </c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350</v>
      </c>
      <c r="AS379" s="11"/>
      <c r="AT379" s="11"/>
      <c r="AU379" s="11"/>
      <c r="AV379" s="20" t="str">
        <f>HYPERLINK("http://www.openstreetmap.org/?mlat=36.5354&amp;mlon=42.7589&amp;zoom=12#map=12/36.5354/42.7589","Maplink1")</f>
        <v>Maplink1</v>
      </c>
      <c r="AW379" s="20" t="str">
        <f>HYPERLINK("https://www.google.iq/maps/search/+36.5354,42.7589/@36.5354,42.7589,14z?hl=en","Maplink2")</f>
        <v>Maplink2</v>
      </c>
      <c r="AX379" s="20" t="str">
        <f>HYPERLINK("http://www.bing.com/maps/?lvl=14&amp;sty=h&amp;cp=36.5354~42.7589&amp;sp=point.36.5354_42.7589_Hay Al-hussien","Maplink3")</f>
        <v>Maplink3</v>
      </c>
    </row>
    <row r="380" spans="1:50" x14ac:dyDescent="0.25">
      <c r="A380" s="9">
        <v>25821</v>
      </c>
      <c r="B380" s="10" t="s">
        <v>20</v>
      </c>
      <c r="C380" s="10" t="s">
        <v>718</v>
      </c>
      <c r="D380" s="10" t="s">
        <v>1030</v>
      </c>
      <c r="E380" s="10" t="s">
        <v>491</v>
      </c>
      <c r="F380" s="10">
        <v>36.529235999999997</v>
      </c>
      <c r="G380" s="10">
        <v>42.75394</v>
      </c>
      <c r="H380" s="10" t="s">
        <v>551</v>
      </c>
      <c r="I380" s="10" t="s">
        <v>720</v>
      </c>
      <c r="J380" s="10"/>
      <c r="K380" s="11">
        <v>310</v>
      </c>
      <c r="L380" s="11">
        <v>1860</v>
      </c>
      <c r="M380" s="11"/>
      <c r="N380" s="11"/>
      <c r="O380" s="11"/>
      <c r="P380" s="11"/>
      <c r="Q380" s="11">
        <v>310</v>
      </c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>
        <v>310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>
        <v>310</v>
      </c>
      <c r="AS380" s="11"/>
      <c r="AT380" s="11"/>
      <c r="AU380" s="11"/>
      <c r="AV380" s="20" t="str">
        <f>HYPERLINK("http://www.openstreetmap.org/?mlat=36.5292&amp;mlon=42.7539&amp;zoom=12#map=12/36.5292/42.7539","Maplink1")</f>
        <v>Maplink1</v>
      </c>
      <c r="AW380" s="20" t="str">
        <f>HYPERLINK("https://www.google.iq/maps/search/+36.5292,42.7539/@36.5292,42.7539,14z?hl=en","Maplink2")</f>
        <v>Maplink2</v>
      </c>
      <c r="AX380" s="20" t="str">
        <f>HYPERLINK("http://www.bing.com/maps/?lvl=14&amp;sty=h&amp;cp=36.5292~42.7539&amp;sp=point.36.5292_42.7539_Hay Al-salam","Maplink3")</f>
        <v>Maplink3</v>
      </c>
    </row>
    <row r="381" spans="1:50" x14ac:dyDescent="0.25">
      <c r="A381" s="9">
        <v>25820</v>
      </c>
      <c r="B381" s="10" t="s">
        <v>20</v>
      </c>
      <c r="C381" s="10" t="s">
        <v>718</v>
      </c>
      <c r="D381" s="10" t="s">
        <v>1031</v>
      </c>
      <c r="E381" s="10" t="s">
        <v>156</v>
      </c>
      <c r="F381" s="10">
        <v>36.529567</v>
      </c>
      <c r="G381" s="10">
        <v>42.759146999999999</v>
      </c>
      <c r="H381" s="10" t="s">
        <v>551</v>
      </c>
      <c r="I381" s="10" t="s">
        <v>720</v>
      </c>
      <c r="J381" s="10"/>
      <c r="K381" s="11">
        <v>300</v>
      </c>
      <c r="L381" s="11">
        <v>1800</v>
      </c>
      <c r="M381" s="11"/>
      <c r="N381" s="11"/>
      <c r="O381" s="11"/>
      <c r="P381" s="11"/>
      <c r="Q381" s="11">
        <v>300</v>
      </c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>
        <v>300</v>
      </c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>
        <v>300</v>
      </c>
      <c r="AS381" s="11"/>
      <c r="AT381" s="11"/>
      <c r="AU381" s="11"/>
      <c r="AV381" s="20" t="str">
        <f>HYPERLINK("http://www.openstreetmap.org/?mlat=36.5296&amp;mlon=42.7591&amp;zoom=12#map=12/36.5296/42.7591","Maplink1")</f>
        <v>Maplink1</v>
      </c>
      <c r="AW381" s="20" t="str">
        <f>HYPERLINK("https://www.google.iq/maps/search/+36.5296,42.7591/@36.5296,42.7591,14z?hl=en","Maplink2")</f>
        <v>Maplink2</v>
      </c>
      <c r="AX381" s="20" t="str">
        <f>HYPERLINK("http://www.bing.com/maps/?lvl=14&amp;sty=h&amp;cp=36.5296~42.7591&amp;sp=point.36.5296_42.7591_Hay Al-zuhoor","Maplink3")</f>
        <v>Maplink3</v>
      </c>
    </row>
    <row r="382" spans="1:50" x14ac:dyDescent="0.25">
      <c r="A382" s="9">
        <v>18046</v>
      </c>
      <c r="B382" s="10" t="s">
        <v>20</v>
      </c>
      <c r="C382" s="10" t="s">
        <v>718</v>
      </c>
      <c r="D382" s="10" t="s">
        <v>729</v>
      </c>
      <c r="E382" s="10" t="s">
        <v>730</v>
      </c>
      <c r="F382" s="10">
        <v>36.623544000000003</v>
      </c>
      <c r="G382" s="10">
        <v>42.982211999999997</v>
      </c>
      <c r="H382" s="10" t="s">
        <v>551</v>
      </c>
      <c r="I382" s="10" t="s">
        <v>720</v>
      </c>
      <c r="J382" s="10" t="s">
        <v>731</v>
      </c>
      <c r="K382" s="11">
        <v>266</v>
      </c>
      <c r="L382" s="11">
        <v>1596</v>
      </c>
      <c r="M382" s="11"/>
      <c r="N382" s="11"/>
      <c r="O382" s="11"/>
      <c r="P382" s="11"/>
      <c r="Q382" s="11">
        <v>266</v>
      </c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>
        <v>266</v>
      </c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>
        <v>266</v>
      </c>
      <c r="AS382" s="11"/>
      <c r="AT382" s="11"/>
      <c r="AU382" s="11"/>
      <c r="AV382" s="20" t="str">
        <f>HYPERLINK("http://www.openstreetmap.org/?mlat=36.6235&amp;mlon=42.9822&amp;zoom=12#map=12/36.6235/42.9822","Maplink1")</f>
        <v>Maplink1</v>
      </c>
      <c r="AW382" s="20" t="str">
        <f>HYPERLINK("https://www.google.iq/maps/search/+36.6235,42.9822/@36.6235,42.9822,14z?hl=en","Maplink2")</f>
        <v>Maplink2</v>
      </c>
      <c r="AX382" s="20" t="str">
        <f>HYPERLINK("http://www.bing.com/maps/?lvl=14&amp;sty=h&amp;cp=36.6235~42.9822&amp;sp=point.36.6235_42.9822_Wanna-Manara","Maplink3")</f>
        <v>Maplink3</v>
      </c>
    </row>
    <row r="383" spans="1:50" x14ac:dyDescent="0.25">
      <c r="A383" s="9">
        <v>17931</v>
      </c>
      <c r="B383" s="10" t="s">
        <v>20</v>
      </c>
      <c r="C383" s="10" t="s">
        <v>718</v>
      </c>
      <c r="D383" s="10" t="s">
        <v>732</v>
      </c>
      <c r="E383" s="10" t="s">
        <v>733</v>
      </c>
      <c r="F383" s="10">
        <v>36.609099000000001</v>
      </c>
      <c r="G383" s="10">
        <v>42.982841999999998</v>
      </c>
      <c r="H383" s="10" t="s">
        <v>551</v>
      </c>
      <c r="I383" s="10" t="s">
        <v>720</v>
      </c>
      <c r="J383" s="10" t="s">
        <v>734</v>
      </c>
      <c r="K383" s="11">
        <v>387</v>
      </c>
      <c r="L383" s="11">
        <v>2322</v>
      </c>
      <c r="M383" s="11"/>
      <c r="N383" s="11"/>
      <c r="O383" s="11"/>
      <c r="P383" s="11"/>
      <c r="Q383" s="11">
        <v>287</v>
      </c>
      <c r="R383" s="11"/>
      <c r="S383" s="11"/>
      <c r="T383" s="11"/>
      <c r="U383" s="11"/>
      <c r="V383" s="11"/>
      <c r="W383" s="11"/>
      <c r="X383" s="11"/>
      <c r="Y383" s="11">
        <v>100</v>
      </c>
      <c r="Z383" s="11"/>
      <c r="AA383" s="11"/>
      <c r="AB383" s="11"/>
      <c r="AC383" s="11"/>
      <c r="AD383" s="11"/>
      <c r="AE383" s="11"/>
      <c r="AF383" s="11">
        <v>387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>
        <v>387</v>
      </c>
      <c r="AS383" s="11"/>
      <c r="AT383" s="11"/>
      <c r="AU383" s="11"/>
      <c r="AV383" s="20" t="str">
        <f>HYPERLINK("http://www.openstreetmap.org/?mlat=36.6091&amp;mlon=42.9828&amp;zoom=12#map=12/36.6091/42.9828","Maplink1")</f>
        <v>Maplink1</v>
      </c>
      <c r="AW383" s="20" t="str">
        <f>HYPERLINK("https://www.google.iq/maps/search/+36.6091,42.9828/@36.6091,42.9828,14z?hl=en","Maplink2")</f>
        <v>Maplink2</v>
      </c>
      <c r="AX383" s="20" t="str">
        <f>HYPERLINK("http://www.bing.com/maps/?lvl=14&amp;sty=h&amp;cp=36.6091~42.9828&amp;sp=point.36.6091_42.9828_Wanna-Tal Adas","Maplink3")</f>
        <v>Maplink3</v>
      </c>
    </row>
    <row r="384" spans="1:50" x14ac:dyDescent="0.25">
      <c r="A384" s="9">
        <v>26081</v>
      </c>
      <c r="B384" s="10" t="s">
        <v>22</v>
      </c>
      <c r="C384" s="10" t="s">
        <v>735</v>
      </c>
      <c r="D384" s="10" t="s">
        <v>1032</v>
      </c>
      <c r="E384" s="10" t="s">
        <v>197</v>
      </c>
      <c r="F384" s="10">
        <v>34.462941999999998</v>
      </c>
      <c r="G384" s="10">
        <v>43.839615999999999</v>
      </c>
      <c r="H384" s="10" t="s">
        <v>736</v>
      </c>
      <c r="I384" s="10" t="s">
        <v>737</v>
      </c>
      <c r="J384" s="10"/>
      <c r="K384" s="11">
        <v>150</v>
      </c>
      <c r="L384" s="11">
        <v>900</v>
      </c>
      <c r="M384" s="11"/>
      <c r="N384" s="11"/>
      <c r="O384" s="11"/>
      <c r="P384" s="11"/>
      <c r="Q384" s="11"/>
      <c r="R384" s="11"/>
      <c r="S384" s="11">
        <v>46</v>
      </c>
      <c r="T384" s="11"/>
      <c r="U384" s="11">
        <v>83</v>
      </c>
      <c r="V384" s="11"/>
      <c r="W384" s="11"/>
      <c r="X384" s="11"/>
      <c r="Y384" s="11"/>
      <c r="Z384" s="11"/>
      <c r="AA384" s="11">
        <v>4</v>
      </c>
      <c r="AB384" s="11">
        <v>17</v>
      </c>
      <c r="AC384" s="11"/>
      <c r="AD384" s="11"/>
      <c r="AE384" s="11"/>
      <c r="AF384" s="11">
        <v>134</v>
      </c>
      <c r="AG384" s="11">
        <v>9</v>
      </c>
      <c r="AH384" s="11"/>
      <c r="AI384" s="11"/>
      <c r="AJ384" s="11"/>
      <c r="AK384" s="11">
        <v>7</v>
      </c>
      <c r="AL384" s="11"/>
      <c r="AM384" s="11"/>
      <c r="AN384" s="11"/>
      <c r="AO384" s="11"/>
      <c r="AP384" s="11"/>
      <c r="AQ384" s="11">
        <v>98</v>
      </c>
      <c r="AR384" s="11">
        <v>52</v>
      </c>
      <c r="AS384" s="11"/>
      <c r="AT384" s="11"/>
      <c r="AU384" s="11"/>
      <c r="AV384" s="20" t="str">
        <f>HYPERLINK("http://www.openstreetmap.org/?mlat=34.4629&amp;mlon=43.8396&amp;zoom=12#map=12/34.4629/43.8396","Maplink1")</f>
        <v>Maplink1</v>
      </c>
      <c r="AW384" s="20" t="str">
        <f>HYPERLINK("https://www.google.iq/maps/search/+34.4629,43.8396/@34.4629,43.8396,14z?hl=en","Maplink2")</f>
        <v>Maplink2</v>
      </c>
      <c r="AX384" s="20" t="str">
        <f>HYPERLINK("http://www.bing.com/maps/?lvl=14&amp;sty=h&amp;cp=34.4629~43.8396&amp;sp=point.34.4629_43.8396_Al-asriyah village","Maplink3")</f>
        <v>Maplink3</v>
      </c>
    </row>
    <row r="385" spans="1:50" x14ac:dyDescent="0.25">
      <c r="A385" s="9">
        <v>26116</v>
      </c>
      <c r="B385" s="10" t="s">
        <v>22</v>
      </c>
      <c r="C385" s="10" t="s">
        <v>735</v>
      </c>
      <c r="D385" s="10" t="s">
        <v>1033</v>
      </c>
      <c r="E385" s="10" t="s">
        <v>741</v>
      </c>
      <c r="F385" s="10">
        <v>34.404991000000003</v>
      </c>
      <c r="G385" s="10">
        <v>43.788418</v>
      </c>
      <c r="H385" s="10" t="s">
        <v>736</v>
      </c>
      <c r="I385" s="10" t="s">
        <v>737</v>
      </c>
      <c r="J385" s="10"/>
      <c r="K385" s="11">
        <v>2480</v>
      </c>
      <c r="L385" s="11">
        <v>14880</v>
      </c>
      <c r="M385" s="11"/>
      <c r="N385" s="11"/>
      <c r="O385" s="11">
        <v>3</v>
      </c>
      <c r="P385" s="11"/>
      <c r="Q385" s="11"/>
      <c r="R385" s="11"/>
      <c r="S385" s="11">
        <v>370</v>
      </c>
      <c r="T385" s="11"/>
      <c r="U385" s="11">
        <v>837</v>
      </c>
      <c r="V385" s="11"/>
      <c r="W385" s="11"/>
      <c r="X385" s="11"/>
      <c r="Y385" s="11"/>
      <c r="Z385" s="11"/>
      <c r="AA385" s="11">
        <v>822</v>
      </c>
      <c r="AB385" s="11">
        <v>448</v>
      </c>
      <c r="AC385" s="11"/>
      <c r="AD385" s="11"/>
      <c r="AE385" s="11"/>
      <c r="AF385" s="11">
        <v>2480</v>
      </c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>
        <v>1825</v>
      </c>
      <c r="AR385" s="11">
        <v>655</v>
      </c>
      <c r="AS385" s="11"/>
      <c r="AT385" s="11"/>
      <c r="AU385" s="11"/>
      <c r="AV385" s="20" t="str">
        <f>HYPERLINK("http://www.openstreetmap.org/?mlat=34.405&amp;mlon=43.7884&amp;zoom=12#map=12/34.405/43.7884","Maplink1")</f>
        <v>Maplink1</v>
      </c>
      <c r="AW385" s="20" t="str">
        <f>HYPERLINK("https://www.google.iq/maps/search/+34.405,43.7884/@34.405,43.7884,14z?hl=en","Maplink2")</f>
        <v>Maplink2</v>
      </c>
      <c r="AX385" s="20" t="str">
        <f>HYPERLINK("http://www.bing.com/maps/?lvl=14&amp;sty=h&amp;cp=34.405~43.7884&amp;sp=point.34.405_43.7884_Al-mujammaa Al-sakani","Maplink3")</f>
        <v>Maplink3</v>
      </c>
    </row>
    <row r="386" spans="1:50" x14ac:dyDescent="0.25">
      <c r="A386" s="9">
        <v>20746</v>
      </c>
      <c r="B386" s="10" t="s">
        <v>22</v>
      </c>
      <c r="C386" s="10" t="s">
        <v>735</v>
      </c>
      <c r="D386" s="10" t="s">
        <v>738</v>
      </c>
      <c r="E386" s="10" t="s">
        <v>739</v>
      </c>
      <c r="F386" s="10">
        <v>34.476014999999997</v>
      </c>
      <c r="G386" s="10">
        <v>43.789852000000003</v>
      </c>
      <c r="H386" s="10" t="s">
        <v>736</v>
      </c>
      <c r="I386" s="10" t="s">
        <v>737</v>
      </c>
      <c r="J386" s="10" t="s">
        <v>740</v>
      </c>
      <c r="K386" s="11">
        <v>637</v>
      </c>
      <c r="L386" s="11">
        <v>3822</v>
      </c>
      <c r="M386" s="11"/>
      <c r="N386" s="11"/>
      <c r="O386" s="11"/>
      <c r="P386" s="11"/>
      <c r="Q386" s="11"/>
      <c r="R386" s="11"/>
      <c r="S386" s="11">
        <v>95</v>
      </c>
      <c r="T386" s="11"/>
      <c r="U386" s="11">
        <v>205</v>
      </c>
      <c r="V386" s="11"/>
      <c r="W386" s="11"/>
      <c r="X386" s="11"/>
      <c r="Y386" s="11"/>
      <c r="Z386" s="11"/>
      <c r="AA386" s="11">
        <v>153</v>
      </c>
      <c r="AB386" s="11">
        <v>184</v>
      </c>
      <c r="AC386" s="11"/>
      <c r="AD386" s="11"/>
      <c r="AE386" s="11"/>
      <c r="AF386" s="11">
        <v>634</v>
      </c>
      <c r="AG386" s="11"/>
      <c r="AH386" s="11"/>
      <c r="AI386" s="11"/>
      <c r="AJ386" s="11"/>
      <c r="AK386" s="11"/>
      <c r="AL386" s="11">
        <v>3</v>
      </c>
      <c r="AM386" s="11"/>
      <c r="AN386" s="11"/>
      <c r="AO386" s="11"/>
      <c r="AP386" s="11"/>
      <c r="AQ386" s="11">
        <v>596</v>
      </c>
      <c r="AR386" s="11">
        <v>32</v>
      </c>
      <c r="AS386" s="11">
        <v>9</v>
      </c>
      <c r="AT386" s="11"/>
      <c r="AU386" s="11"/>
      <c r="AV386" s="20" t="str">
        <f>HYPERLINK("http://www.openstreetmap.org/?mlat=34.476&amp;mlon=43.7899&amp;zoom=12#map=12/34.476/43.7899","Maplink1")</f>
        <v>Maplink1</v>
      </c>
      <c r="AW386" s="20" t="str">
        <f>HYPERLINK("https://www.google.iq/maps/search/+34.476,43.7899/@34.476,43.7899,14z?hl=en","Maplink2")</f>
        <v>Maplink2</v>
      </c>
      <c r="AX386" s="20" t="str">
        <f>HYPERLINK("http://www.bing.com/maps/?lvl=14&amp;sty=h&amp;cp=34.476~43.7899&amp;sp=point.34.476_43.7899_Al-Khadhra area","Maplink3")</f>
        <v>Maplink3</v>
      </c>
    </row>
    <row r="387" spans="1:50" x14ac:dyDescent="0.25">
      <c r="A387" s="9">
        <v>20587</v>
      </c>
      <c r="B387" s="10" t="s">
        <v>22</v>
      </c>
      <c r="C387" s="10" t="s">
        <v>735</v>
      </c>
      <c r="D387" s="10" t="s">
        <v>742</v>
      </c>
      <c r="E387" s="10" t="s">
        <v>743</v>
      </c>
      <c r="F387" s="10">
        <v>34.461865000000003</v>
      </c>
      <c r="G387" s="10">
        <v>43.799362000000002</v>
      </c>
      <c r="H387" s="10" t="s">
        <v>736</v>
      </c>
      <c r="I387" s="10" t="s">
        <v>737</v>
      </c>
      <c r="J387" s="10" t="s">
        <v>744</v>
      </c>
      <c r="K387" s="11">
        <v>1401</v>
      </c>
      <c r="L387" s="11">
        <v>8406</v>
      </c>
      <c r="M387" s="11"/>
      <c r="N387" s="11"/>
      <c r="O387" s="11">
        <v>3</v>
      </c>
      <c r="P387" s="11"/>
      <c r="Q387" s="11"/>
      <c r="R387" s="11"/>
      <c r="S387" s="11">
        <v>82</v>
      </c>
      <c r="T387" s="11"/>
      <c r="U387" s="11">
        <v>756</v>
      </c>
      <c r="V387" s="11"/>
      <c r="W387" s="11"/>
      <c r="X387" s="11"/>
      <c r="Y387" s="11"/>
      <c r="Z387" s="11"/>
      <c r="AA387" s="11">
        <v>523</v>
      </c>
      <c r="AB387" s="11">
        <v>37</v>
      </c>
      <c r="AC387" s="11"/>
      <c r="AD387" s="11"/>
      <c r="AE387" s="11"/>
      <c r="AF387" s="11">
        <v>1369</v>
      </c>
      <c r="AG387" s="11"/>
      <c r="AH387" s="11"/>
      <c r="AI387" s="11"/>
      <c r="AJ387" s="11"/>
      <c r="AK387" s="11"/>
      <c r="AL387" s="11">
        <v>32</v>
      </c>
      <c r="AM387" s="11"/>
      <c r="AN387" s="11"/>
      <c r="AO387" s="11"/>
      <c r="AP387" s="11">
        <v>990</v>
      </c>
      <c r="AQ387" s="11">
        <v>396</v>
      </c>
      <c r="AR387" s="11"/>
      <c r="AS387" s="11"/>
      <c r="AT387" s="11">
        <v>15</v>
      </c>
      <c r="AU387" s="11"/>
      <c r="AV387" s="20" t="str">
        <f>HYPERLINK("http://www.openstreetmap.org/?mlat=34.4619&amp;mlon=43.7994&amp;zoom=12#map=12/34.4619/43.7994","Maplink1")</f>
        <v>Maplink1</v>
      </c>
      <c r="AW387" s="20" t="str">
        <f>HYPERLINK("https://www.google.iq/maps/search/+34.4619,43.7994/@34.4619,43.7994,14z?hl=en","Maplink2")</f>
        <v>Maplink2</v>
      </c>
      <c r="AX387" s="20" t="str">
        <f>HYPERLINK("http://www.bing.com/maps/?lvl=14&amp;sty=h&amp;cp=34.4619~43.7994&amp;sp=point.34.4619_43.7994_Hay Abu Dalaf","Maplink3")</f>
        <v>Maplink3</v>
      </c>
    </row>
    <row r="388" spans="1:50" x14ac:dyDescent="0.25">
      <c r="A388" s="9">
        <v>26079</v>
      </c>
      <c r="B388" s="10" t="s">
        <v>22</v>
      </c>
      <c r="C388" s="10" t="s">
        <v>735</v>
      </c>
      <c r="D388" s="10" t="s">
        <v>1034</v>
      </c>
      <c r="E388" s="10" t="s">
        <v>747</v>
      </c>
      <c r="F388" s="10">
        <v>34.461548999999998</v>
      </c>
      <c r="G388" s="10">
        <v>43.789937000000002</v>
      </c>
      <c r="H388" s="10" t="s">
        <v>736</v>
      </c>
      <c r="I388" s="10" t="s">
        <v>737</v>
      </c>
      <c r="J388" s="10"/>
      <c r="K388" s="11">
        <v>881</v>
      </c>
      <c r="L388" s="11">
        <v>5286</v>
      </c>
      <c r="M388" s="11"/>
      <c r="N388" s="11"/>
      <c r="O388" s="11">
        <v>4</v>
      </c>
      <c r="P388" s="11"/>
      <c r="Q388" s="11"/>
      <c r="R388" s="11"/>
      <c r="S388" s="11">
        <v>119</v>
      </c>
      <c r="T388" s="11"/>
      <c r="U388" s="11">
        <v>529</v>
      </c>
      <c r="V388" s="11"/>
      <c r="W388" s="11"/>
      <c r="X388" s="11"/>
      <c r="Y388" s="11"/>
      <c r="Z388" s="11"/>
      <c r="AA388" s="11">
        <v>156</v>
      </c>
      <c r="AB388" s="11">
        <v>73</v>
      </c>
      <c r="AC388" s="11"/>
      <c r="AD388" s="11"/>
      <c r="AE388" s="11"/>
      <c r="AF388" s="11">
        <v>881</v>
      </c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>
        <v>857</v>
      </c>
      <c r="AR388" s="11">
        <v>24</v>
      </c>
      <c r="AS388" s="11"/>
      <c r="AT388" s="11"/>
      <c r="AU388" s="11"/>
      <c r="AV388" s="20" t="str">
        <f>HYPERLINK("http://www.openstreetmap.org/?mlat=34.4615&amp;mlon=43.7899&amp;zoom=12#map=12/34.4615/43.7899","Maplink1")</f>
        <v>Maplink1</v>
      </c>
      <c r="AW388" s="20" t="str">
        <f>HYPERLINK("https://www.google.iq/maps/search/+34.4615,43.7899/@34.4615,43.7899,14z?hl=en","Maplink2")</f>
        <v>Maplink2</v>
      </c>
      <c r="AX388" s="20" t="str">
        <f>HYPERLINK("http://www.bing.com/maps/?lvl=14&amp;sty=h&amp;cp=34.4615~43.7899&amp;sp=point.34.4615_43.7899_Hay Al-aboor","Maplink3")</f>
        <v>Maplink3</v>
      </c>
    </row>
    <row r="389" spans="1:50" x14ac:dyDescent="0.25">
      <c r="A389" s="9">
        <v>26078</v>
      </c>
      <c r="B389" s="10" t="s">
        <v>22</v>
      </c>
      <c r="C389" s="10" t="s">
        <v>735</v>
      </c>
      <c r="D389" s="10" t="s">
        <v>1035</v>
      </c>
      <c r="E389" s="10" t="s">
        <v>657</v>
      </c>
      <c r="F389" s="10">
        <v>34.465392000000001</v>
      </c>
      <c r="G389" s="10">
        <v>43.794246000000001</v>
      </c>
      <c r="H389" s="10" t="s">
        <v>736</v>
      </c>
      <c r="I389" s="10" t="s">
        <v>737</v>
      </c>
      <c r="J389" s="10"/>
      <c r="K389" s="11">
        <v>831</v>
      </c>
      <c r="L389" s="11">
        <v>4986</v>
      </c>
      <c r="M389" s="11"/>
      <c r="N389" s="11"/>
      <c r="O389" s="11">
        <v>1</v>
      </c>
      <c r="P389" s="11"/>
      <c r="Q389" s="11"/>
      <c r="R389" s="11"/>
      <c r="S389" s="11">
        <v>135</v>
      </c>
      <c r="T389" s="11"/>
      <c r="U389" s="11">
        <v>471</v>
      </c>
      <c r="V389" s="11"/>
      <c r="W389" s="11"/>
      <c r="X389" s="11"/>
      <c r="Y389" s="11"/>
      <c r="Z389" s="11"/>
      <c r="AA389" s="11">
        <v>100</v>
      </c>
      <c r="AB389" s="11">
        <v>124</v>
      </c>
      <c r="AC389" s="11"/>
      <c r="AD389" s="11"/>
      <c r="AE389" s="11"/>
      <c r="AF389" s="11">
        <v>827</v>
      </c>
      <c r="AG389" s="11"/>
      <c r="AH389" s="11"/>
      <c r="AI389" s="11"/>
      <c r="AJ389" s="11"/>
      <c r="AK389" s="11"/>
      <c r="AL389" s="11">
        <v>4</v>
      </c>
      <c r="AM389" s="11"/>
      <c r="AN389" s="11"/>
      <c r="AO389" s="11"/>
      <c r="AP389" s="11"/>
      <c r="AQ389" s="11">
        <v>831</v>
      </c>
      <c r="AR389" s="11"/>
      <c r="AS389" s="11"/>
      <c r="AT389" s="11"/>
      <c r="AU389" s="11"/>
      <c r="AV389" s="20" t="str">
        <f>HYPERLINK("http://www.openstreetmap.org/?mlat=34.4654&amp;mlon=43.7942&amp;zoom=12#map=12/34.4654/43.7942","Maplink1")</f>
        <v>Maplink1</v>
      </c>
      <c r="AW389" s="20" t="str">
        <f>HYPERLINK("https://www.google.iq/maps/search/+34.4654,43.7942/@34.4654,43.7942,14z?hl=en","Maplink2")</f>
        <v>Maplink2</v>
      </c>
      <c r="AX389" s="20" t="str">
        <f>HYPERLINK("http://www.bing.com/maps/?lvl=14&amp;sty=h&amp;cp=34.4654~43.7942&amp;sp=point.34.4654_43.7942_Hay Al-askri","Maplink3")</f>
        <v>Maplink3</v>
      </c>
    </row>
    <row r="390" spans="1:50" x14ac:dyDescent="0.25">
      <c r="A390" s="9">
        <v>26082</v>
      </c>
      <c r="B390" s="10" t="s">
        <v>22</v>
      </c>
      <c r="C390" s="10" t="s">
        <v>735</v>
      </c>
      <c r="D390" s="10" t="s">
        <v>1036</v>
      </c>
      <c r="E390" s="10" t="s">
        <v>748</v>
      </c>
      <c r="F390" s="10">
        <v>34.465421999999997</v>
      </c>
      <c r="G390" s="10">
        <v>43.811525000000003</v>
      </c>
      <c r="H390" s="10" t="s">
        <v>736</v>
      </c>
      <c r="I390" s="10" t="s">
        <v>737</v>
      </c>
      <c r="J390" s="10"/>
      <c r="K390" s="11">
        <v>350</v>
      </c>
      <c r="L390" s="11">
        <v>2100</v>
      </c>
      <c r="M390" s="11"/>
      <c r="N390" s="11"/>
      <c r="O390" s="11">
        <v>5</v>
      </c>
      <c r="P390" s="11"/>
      <c r="Q390" s="11"/>
      <c r="R390" s="11"/>
      <c r="S390" s="11">
        <v>50</v>
      </c>
      <c r="T390" s="11"/>
      <c r="U390" s="11">
        <v>67</v>
      </c>
      <c r="V390" s="11"/>
      <c r="W390" s="11"/>
      <c r="X390" s="11"/>
      <c r="Y390" s="11"/>
      <c r="Z390" s="11"/>
      <c r="AA390" s="11">
        <v>213</v>
      </c>
      <c r="AB390" s="11">
        <v>15</v>
      </c>
      <c r="AC390" s="11"/>
      <c r="AD390" s="11"/>
      <c r="AE390" s="11"/>
      <c r="AF390" s="11">
        <v>350</v>
      </c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>
        <v>305</v>
      </c>
      <c r="AR390" s="11">
        <v>45</v>
      </c>
      <c r="AS390" s="11"/>
      <c r="AT390" s="11"/>
      <c r="AU390" s="11"/>
      <c r="AV390" s="20" t="str">
        <f>HYPERLINK("http://www.openstreetmap.org/?mlat=34.4654&amp;mlon=43.8115&amp;zoom=12#map=12/34.4654/43.8115","Maplink1")</f>
        <v>Maplink1</v>
      </c>
      <c r="AW390" s="20" t="str">
        <f>HYPERLINK("https://www.google.iq/maps/search/+34.4654,43.8115/@34.4654,43.8115,14z?hl=en","Maplink2")</f>
        <v>Maplink2</v>
      </c>
      <c r="AX390" s="20" t="str">
        <f>HYPERLINK("http://www.bing.com/maps/?lvl=14&amp;sty=h&amp;cp=34.4654~43.8115&amp;sp=point.34.4654_43.8115_Hay Al-mahad","Maplink3")</f>
        <v>Maplink3</v>
      </c>
    </row>
    <row r="391" spans="1:50" x14ac:dyDescent="0.25">
      <c r="A391" s="9">
        <v>20713</v>
      </c>
      <c r="B391" s="10" t="s">
        <v>22</v>
      </c>
      <c r="C391" s="10" t="s">
        <v>735</v>
      </c>
      <c r="D391" s="10" t="s">
        <v>745</v>
      </c>
      <c r="E391" s="10" t="s">
        <v>662</v>
      </c>
      <c r="F391" s="10">
        <v>34.471462000000002</v>
      </c>
      <c r="G391" s="10">
        <v>43.788890000000002</v>
      </c>
      <c r="H391" s="10" t="s">
        <v>736</v>
      </c>
      <c r="I391" s="10" t="s">
        <v>737</v>
      </c>
      <c r="J391" s="10" t="s">
        <v>746</v>
      </c>
      <c r="K391" s="11">
        <v>739</v>
      </c>
      <c r="L391" s="11">
        <v>4434</v>
      </c>
      <c r="M391" s="11"/>
      <c r="N391" s="11"/>
      <c r="O391" s="11">
        <v>12</v>
      </c>
      <c r="P391" s="11"/>
      <c r="Q391" s="11"/>
      <c r="R391" s="11"/>
      <c r="S391" s="11">
        <v>43</v>
      </c>
      <c r="T391" s="11"/>
      <c r="U391" s="11">
        <v>408</v>
      </c>
      <c r="V391" s="11"/>
      <c r="W391" s="11"/>
      <c r="X391" s="11"/>
      <c r="Y391" s="11"/>
      <c r="Z391" s="11"/>
      <c r="AA391" s="11">
        <v>185</v>
      </c>
      <c r="AB391" s="11">
        <v>91</v>
      </c>
      <c r="AC391" s="11"/>
      <c r="AD391" s="11"/>
      <c r="AE391" s="11"/>
      <c r="AF391" s="11">
        <v>726</v>
      </c>
      <c r="AG391" s="11"/>
      <c r="AH391" s="11"/>
      <c r="AI391" s="11"/>
      <c r="AJ391" s="11"/>
      <c r="AK391" s="11"/>
      <c r="AL391" s="11">
        <v>13</v>
      </c>
      <c r="AM391" s="11"/>
      <c r="AN391" s="11"/>
      <c r="AO391" s="11"/>
      <c r="AP391" s="11"/>
      <c r="AQ391" s="11">
        <v>475</v>
      </c>
      <c r="AR391" s="11">
        <v>177</v>
      </c>
      <c r="AS391" s="11">
        <v>63</v>
      </c>
      <c r="AT391" s="11"/>
      <c r="AU391" s="11">
        <v>24</v>
      </c>
      <c r="AV391" s="20" t="str">
        <f>HYPERLINK("http://www.openstreetmap.org/?mlat=34.4715&amp;mlon=43.7889&amp;zoom=12#map=12/34.4715/43.7889","Maplink1")</f>
        <v>Maplink1</v>
      </c>
      <c r="AW391" s="20" t="str">
        <f>HYPERLINK("https://www.google.iq/maps/search/+34.4715,43.7889/@34.4715,43.7889,14z?hl=en","Maplink2")</f>
        <v>Maplink2</v>
      </c>
      <c r="AX391" s="20" t="str">
        <f>HYPERLINK("http://www.bing.com/maps/?lvl=14&amp;sty=h&amp;cp=34.4715~43.7889&amp;sp=point.34.4715_43.7889_Hay Al Qadisiah","Maplink3")</f>
        <v>Maplink3</v>
      </c>
    </row>
    <row r="392" spans="1:50" x14ac:dyDescent="0.25">
      <c r="A392" s="9">
        <v>26080</v>
      </c>
      <c r="B392" s="10" t="s">
        <v>22</v>
      </c>
      <c r="C392" s="10" t="s">
        <v>735</v>
      </c>
      <c r="D392" s="10" t="s">
        <v>1037</v>
      </c>
      <c r="E392" s="10" t="s">
        <v>749</v>
      </c>
      <c r="F392" s="10">
        <v>34.448566</v>
      </c>
      <c r="G392" s="10">
        <v>43.788891999999997</v>
      </c>
      <c r="H392" s="10" t="s">
        <v>736</v>
      </c>
      <c r="I392" s="10" t="s">
        <v>737</v>
      </c>
      <c r="J392" s="10"/>
      <c r="K392" s="11">
        <v>398</v>
      </c>
      <c r="L392" s="11">
        <v>2388</v>
      </c>
      <c r="M392" s="11"/>
      <c r="N392" s="11"/>
      <c r="O392" s="11"/>
      <c r="P392" s="11"/>
      <c r="Q392" s="11"/>
      <c r="R392" s="11"/>
      <c r="S392" s="11">
        <v>36</v>
      </c>
      <c r="T392" s="11"/>
      <c r="U392" s="11">
        <v>117</v>
      </c>
      <c r="V392" s="11"/>
      <c r="W392" s="11"/>
      <c r="X392" s="11"/>
      <c r="Y392" s="11"/>
      <c r="Z392" s="11"/>
      <c r="AA392" s="11">
        <v>225</v>
      </c>
      <c r="AB392" s="11">
        <v>20</v>
      </c>
      <c r="AC392" s="11"/>
      <c r="AD392" s="11"/>
      <c r="AE392" s="11"/>
      <c r="AF392" s="11">
        <v>398</v>
      </c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>
        <v>398</v>
      </c>
      <c r="AR392" s="11"/>
      <c r="AS392" s="11"/>
      <c r="AT392" s="11"/>
      <c r="AU392" s="11"/>
      <c r="AV392" s="20" t="str">
        <f>HYPERLINK("http://www.openstreetmap.org/?mlat=34.4486&amp;mlon=43.7889&amp;zoom=12#map=12/34.4486/43.7889","Maplink1")</f>
        <v>Maplink1</v>
      </c>
      <c r="AW392" s="20" t="str">
        <f>HYPERLINK("https://www.google.iq/maps/search/+34.4486,43.7889/@34.4486,43.7889,14z?hl=en","Maplink2")</f>
        <v>Maplink2</v>
      </c>
      <c r="AX392" s="20" t="str">
        <f>HYPERLINK("http://www.bing.com/maps/?lvl=14&amp;sty=h&amp;cp=34.4486~43.7889&amp;sp=point.34.4486_43.7889_Hay Al-sharqiyah","Maplink3")</f>
        <v>Maplink3</v>
      </c>
    </row>
    <row r="393" spans="1:50" x14ac:dyDescent="0.25">
      <c r="A393" s="9">
        <v>26077</v>
      </c>
      <c r="B393" s="10" t="s">
        <v>22</v>
      </c>
      <c r="C393" s="10" t="s">
        <v>735</v>
      </c>
      <c r="D393" s="10" t="s">
        <v>1038</v>
      </c>
      <c r="E393" s="10" t="s">
        <v>750</v>
      </c>
      <c r="F393" s="10">
        <v>34.452990999999997</v>
      </c>
      <c r="G393" s="10">
        <v>43.798419000000003</v>
      </c>
      <c r="H393" s="10" t="s">
        <v>736</v>
      </c>
      <c r="I393" s="10" t="s">
        <v>737</v>
      </c>
      <c r="J393" s="10"/>
      <c r="K393" s="11">
        <v>1210</v>
      </c>
      <c r="L393" s="11">
        <v>7260</v>
      </c>
      <c r="M393" s="11"/>
      <c r="N393" s="11"/>
      <c r="O393" s="11"/>
      <c r="P393" s="11"/>
      <c r="Q393" s="11"/>
      <c r="R393" s="11"/>
      <c r="S393" s="11">
        <v>106</v>
      </c>
      <c r="T393" s="11"/>
      <c r="U393" s="11">
        <v>725</v>
      </c>
      <c r="V393" s="11"/>
      <c r="W393" s="11"/>
      <c r="X393" s="11"/>
      <c r="Y393" s="11"/>
      <c r="Z393" s="11"/>
      <c r="AA393" s="11">
        <v>379</v>
      </c>
      <c r="AB393" s="11"/>
      <c r="AC393" s="11"/>
      <c r="AD393" s="11"/>
      <c r="AE393" s="11"/>
      <c r="AF393" s="11">
        <v>1210</v>
      </c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>
        <v>1190</v>
      </c>
      <c r="AR393" s="11">
        <v>20</v>
      </c>
      <c r="AS393" s="11"/>
      <c r="AT393" s="11"/>
      <c r="AU393" s="11"/>
      <c r="AV393" s="20" t="str">
        <f>HYPERLINK("http://www.openstreetmap.org/?mlat=34.453&amp;mlon=43.7984&amp;zoom=12#map=12/34.453/43.7984","Maplink1")</f>
        <v>Maplink1</v>
      </c>
      <c r="AW393" s="20" t="str">
        <f>HYPERLINK("https://www.google.iq/maps/search/+34.453,43.7984/@34.453,43.7984,14z?hl=en","Maplink2")</f>
        <v>Maplink2</v>
      </c>
      <c r="AX393" s="20" t="str">
        <f>HYPERLINK("http://www.bing.com/maps/?lvl=14&amp;sty=h&amp;cp=34.453~43.7984&amp;sp=point.34.453_43.7984_Hay Tal Al-banat","Maplink3")</f>
        <v>Maplink3</v>
      </c>
    </row>
    <row r="394" spans="1:50" x14ac:dyDescent="0.25">
      <c r="A394" s="9">
        <v>28420</v>
      </c>
      <c r="B394" s="10" t="s">
        <v>22</v>
      </c>
      <c r="C394" s="10" t="s">
        <v>751</v>
      </c>
      <c r="D394" s="10" t="s">
        <v>1039</v>
      </c>
      <c r="E394" s="10" t="s">
        <v>752</v>
      </c>
      <c r="F394" s="10">
        <v>33.867142000000001</v>
      </c>
      <c r="G394" s="10">
        <v>44.286270000000002</v>
      </c>
      <c r="H394" s="10" t="s">
        <v>736</v>
      </c>
      <c r="I394" s="10" t="s">
        <v>753</v>
      </c>
      <c r="J394" s="10"/>
      <c r="K394" s="11">
        <v>540</v>
      </c>
      <c r="L394" s="11">
        <v>3240</v>
      </c>
      <c r="M394" s="11"/>
      <c r="N394" s="11"/>
      <c r="O394" s="11">
        <v>110</v>
      </c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>
        <v>430</v>
      </c>
      <c r="AB394" s="11"/>
      <c r="AC394" s="11"/>
      <c r="AD394" s="11"/>
      <c r="AE394" s="11"/>
      <c r="AF394" s="11">
        <v>437</v>
      </c>
      <c r="AG394" s="11">
        <v>63</v>
      </c>
      <c r="AH394" s="11"/>
      <c r="AI394" s="11"/>
      <c r="AJ394" s="11"/>
      <c r="AK394" s="11"/>
      <c r="AL394" s="11">
        <v>40</v>
      </c>
      <c r="AM394" s="11"/>
      <c r="AN394" s="11"/>
      <c r="AO394" s="11"/>
      <c r="AP394" s="11">
        <v>415</v>
      </c>
      <c r="AQ394" s="11">
        <v>125</v>
      </c>
      <c r="AR394" s="11"/>
      <c r="AS394" s="11"/>
      <c r="AT394" s="11"/>
      <c r="AU394" s="11"/>
      <c r="AV394" s="20" t="str">
        <f>HYPERLINK("http://www.openstreetmap.org/?mlat=33.8671&amp;mlon=44.2863&amp;zoom=12#map=12/33.8671/44.2863","Maplink1")</f>
        <v>Maplink1</v>
      </c>
      <c r="AW394" s="20" t="str">
        <f>HYPERLINK("https://www.google.iq/maps/search/+33.8671,44.2863/@33.8671,44.2863,14z?hl=en","Maplink2")</f>
        <v>Maplink2</v>
      </c>
      <c r="AX394" s="20" t="str">
        <f>HYPERLINK("http://www.bing.com/maps/?lvl=14&amp;sty=h&amp;cp=33.8671~44.2863&amp;sp=point.33.8671_44.2863_Al Angaa","Maplink3")</f>
        <v>Maplink3</v>
      </c>
    </row>
    <row r="395" spans="1:50" x14ac:dyDescent="0.25">
      <c r="A395" s="9">
        <v>25947</v>
      </c>
      <c r="B395" s="10" t="s">
        <v>22</v>
      </c>
      <c r="C395" s="10" t="s">
        <v>751</v>
      </c>
      <c r="D395" s="10" t="s">
        <v>1040</v>
      </c>
      <c r="E395" s="10" t="s">
        <v>754</v>
      </c>
      <c r="F395" s="10">
        <v>33.875644000000001</v>
      </c>
      <c r="G395" s="10">
        <v>44.200510999999999</v>
      </c>
      <c r="H395" s="10" t="s">
        <v>736</v>
      </c>
      <c r="I395" s="10" t="s">
        <v>753</v>
      </c>
      <c r="J395" s="10"/>
      <c r="K395" s="11">
        <v>513</v>
      </c>
      <c r="L395" s="11">
        <v>3078</v>
      </c>
      <c r="M395" s="11"/>
      <c r="N395" s="11"/>
      <c r="O395" s="11">
        <v>334</v>
      </c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>
        <v>179</v>
      </c>
      <c r="AB395" s="11"/>
      <c r="AC395" s="11"/>
      <c r="AD395" s="11"/>
      <c r="AE395" s="11"/>
      <c r="AF395" s="11">
        <v>482</v>
      </c>
      <c r="AG395" s="11">
        <v>12</v>
      </c>
      <c r="AH395" s="11"/>
      <c r="AI395" s="11"/>
      <c r="AJ395" s="11"/>
      <c r="AK395" s="11"/>
      <c r="AL395" s="11">
        <v>19</v>
      </c>
      <c r="AM395" s="11"/>
      <c r="AN395" s="11"/>
      <c r="AO395" s="11"/>
      <c r="AP395" s="11">
        <v>390</v>
      </c>
      <c r="AQ395" s="11">
        <v>123</v>
      </c>
      <c r="AR395" s="11"/>
      <c r="AS395" s="11"/>
      <c r="AT395" s="11"/>
      <c r="AU395" s="11"/>
      <c r="AV395" s="20" t="str">
        <f>HYPERLINK("http://www.openstreetmap.org/?mlat=33.8756&amp;mlon=44.2005&amp;zoom=12#map=12/33.8756/44.2005","Maplink1")</f>
        <v>Maplink1</v>
      </c>
      <c r="AW395" s="20" t="str">
        <f>HYPERLINK("https://www.google.iq/maps/search/+33.8756,44.2005/@33.8756,44.2005,14z?hl=en","Maplink2")</f>
        <v>Maplink2</v>
      </c>
      <c r="AX395" s="20" t="str">
        <f>HYPERLINK("http://www.bing.com/maps/?lvl=14&amp;sty=h&amp;cp=33.8756~44.2005&amp;sp=point.33.8756_44.2005_Bezna Village","Maplink3")</f>
        <v>Maplink3</v>
      </c>
    </row>
    <row r="396" spans="1:50" x14ac:dyDescent="0.25">
      <c r="A396" s="9">
        <v>23388</v>
      </c>
      <c r="B396" s="10" t="s">
        <v>22</v>
      </c>
      <c r="C396" s="10" t="s">
        <v>755</v>
      </c>
      <c r="D396" s="10" t="s">
        <v>1041</v>
      </c>
      <c r="E396" s="10" t="s">
        <v>1183</v>
      </c>
      <c r="F396" s="10">
        <v>34.824230999999997</v>
      </c>
      <c r="G396" s="10">
        <v>43.528092000000001</v>
      </c>
      <c r="H396" s="10" t="s">
        <v>736</v>
      </c>
      <c r="I396" s="10" t="s">
        <v>756</v>
      </c>
      <c r="J396" s="10" t="s">
        <v>757</v>
      </c>
      <c r="K396" s="11">
        <v>270</v>
      </c>
      <c r="L396" s="11">
        <v>1620</v>
      </c>
      <c r="M396" s="11"/>
      <c r="N396" s="11"/>
      <c r="O396" s="11">
        <v>3</v>
      </c>
      <c r="P396" s="11"/>
      <c r="Q396" s="11"/>
      <c r="R396" s="11"/>
      <c r="S396" s="11">
        <v>50</v>
      </c>
      <c r="T396" s="11"/>
      <c r="U396" s="11">
        <v>167</v>
      </c>
      <c r="V396" s="11"/>
      <c r="W396" s="11"/>
      <c r="X396" s="11"/>
      <c r="Y396" s="11"/>
      <c r="Z396" s="11"/>
      <c r="AA396" s="11"/>
      <c r="AB396" s="11">
        <v>50</v>
      </c>
      <c r="AC396" s="11"/>
      <c r="AD396" s="11"/>
      <c r="AE396" s="11"/>
      <c r="AF396" s="11">
        <v>250</v>
      </c>
      <c r="AG396" s="11"/>
      <c r="AH396" s="11"/>
      <c r="AI396" s="11"/>
      <c r="AJ396" s="11"/>
      <c r="AK396" s="11"/>
      <c r="AL396" s="11">
        <v>20</v>
      </c>
      <c r="AM396" s="11"/>
      <c r="AN396" s="11"/>
      <c r="AO396" s="11"/>
      <c r="AP396" s="11"/>
      <c r="AQ396" s="11">
        <v>270</v>
      </c>
      <c r="AR396" s="11"/>
      <c r="AS396" s="11"/>
      <c r="AT396" s="11"/>
      <c r="AU396" s="11"/>
      <c r="AV396" s="20" t="str">
        <f>HYPERLINK("http://www.openstreetmap.org/?mlat=34.8242&amp;mlon=43.5281&amp;zoom=12#map=12/34.8242/43.5281","Maplink1")</f>
        <v>Maplink1</v>
      </c>
      <c r="AW396" s="20" t="str">
        <f>HYPERLINK("https://www.google.iq/maps/search/+34.8242,43.5281/@34.8242,43.5281,14z?hl=en","Maplink2")</f>
        <v>Maplink2</v>
      </c>
      <c r="AX396" s="20" t="str">
        <f>HYPERLINK("http://www.bing.com/maps/?lvl=14&amp;sty=h&amp;cp=34.8242~43.5281&amp;sp=point.34.8242_43.5281_Al-Hamra village","Maplink3")</f>
        <v>Maplink3</v>
      </c>
    </row>
    <row r="397" spans="1:50" x14ac:dyDescent="0.25">
      <c r="A397" s="9">
        <v>25921</v>
      </c>
      <c r="B397" s="10" t="s">
        <v>22</v>
      </c>
      <c r="C397" s="10" t="s">
        <v>755</v>
      </c>
      <c r="D397" s="10" t="s">
        <v>907</v>
      </c>
      <c r="E397" s="10" t="s">
        <v>1184</v>
      </c>
      <c r="F397" s="10">
        <v>34.832652000000003</v>
      </c>
      <c r="G397" s="10">
        <v>43.516179000000001</v>
      </c>
      <c r="H397" s="10" t="s">
        <v>736</v>
      </c>
      <c r="I397" s="10" t="s">
        <v>756</v>
      </c>
      <c r="J397" s="10"/>
      <c r="K397" s="11">
        <v>1931</v>
      </c>
      <c r="L397" s="11">
        <v>11586</v>
      </c>
      <c r="M397" s="11"/>
      <c r="N397" s="11"/>
      <c r="O397" s="11">
        <v>5</v>
      </c>
      <c r="P397" s="11">
        <v>5</v>
      </c>
      <c r="Q397" s="11"/>
      <c r="R397" s="11"/>
      <c r="S397" s="11">
        <v>1908</v>
      </c>
      <c r="T397" s="11"/>
      <c r="U397" s="11">
        <v>10</v>
      </c>
      <c r="V397" s="11"/>
      <c r="W397" s="11"/>
      <c r="X397" s="11"/>
      <c r="Y397" s="11"/>
      <c r="Z397" s="11"/>
      <c r="AA397" s="11">
        <v>3</v>
      </c>
      <c r="AB397" s="11"/>
      <c r="AC397" s="11"/>
      <c r="AD397" s="11"/>
      <c r="AE397" s="11"/>
      <c r="AF397" s="11">
        <v>1920</v>
      </c>
      <c r="AG397" s="11">
        <v>11</v>
      </c>
      <c r="AH397" s="11"/>
      <c r="AI397" s="11"/>
      <c r="AJ397" s="11"/>
      <c r="AK397" s="11"/>
      <c r="AL397" s="11"/>
      <c r="AM397" s="11"/>
      <c r="AN397" s="11"/>
      <c r="AO397" s="11"/>
      <c r="AP397" s="11">
        <v>90</v>
      </c>
      <c r="AQ397" s="11">
        <v>1750</v>
      </c>
      <c r="AR397" s="11">
        <v>91</v>
      </c>
      <c r="AS397" s="11"/>
      <c r="AT397" s="11"/>
      <c r="AU397" s="11"/>
      <c r="AV397" s="20" t="str">
        <f>HYPERLINK("http://www.openstreetmap.org/?mlat=34.8327&amp;mlon=43.5162&amp;zoom=12#map=12/34.8327/43.5162","Maplink1")</f>
        <v>Maplink1</v>
      </c>
      <c r="AW397" s="20" t="str">
        <f>HYPERLINK("https://www.google.iq/maps/search/+34.8327,43.5162/@34.8327,43.5162,14z?hl=en","Maplink2")</f>
        <v>Maplink2</v>
      </c>
      <c r="AX397" s="20" t="str">
        <f>HYPERLINK("http://www.bing.com/maps/?lvl=14&amp;sty=h&amp;cp=34.8327~43.5162&amp;sp=point.34.8327_43.5162_Al-Hejaj village -13","Maplink3")</f>
        <v>Maplink3</v>
      </c>
    </row>
    <row r="398" spans="1:50" x14ac:dyDescent="0.25">
      <c r="A398" s="9">
        <v>25706</v>
      </c>
      <c r="B398" s="10" t="s">
        <v>22</v>
      </c>
      <c r="C398" s="10" t="s">
        <v>755</v>
      </c>
      <c r="D398" s="10" t="s">
        <v>1042</v>
      </c>
      <c r="E398" s="10" t="s">
        <v>1185</v>
      </c>
      <c r="F398" s="10">
        <v>34.823481000000001</v>
      </c>
      <c r="G398" s="10">
        <v>43.522205</v>
      </c>
      <c r="H398" s="10" t="s">
        <v>736</v>
      </c>
      <c r="I398" s="10" t="s">
        <v>756</v>
      </c>
      <c r="J398" s="10"/>
      <c r="K398" s="11">
        <v>1276</v>
      </c>
      <c r="L398" s="11">
        <v>7656</v>
      </c>
      <c r="M398" s="11"/>
      <c r="N398" s="11"/>
      <c r="O398" s="11">
        <v>2</v>
      </c>
      <c r="P398" s="11"/>
      <c r="Q398" s="11">
        <v>3</v>
      </c>
      <c r="R398" s="11"/>
      <c r="S398" s="11">
        <v>931</v>
      </c>
      <c r="T398" s="11"/>
      <c r="U398" s="11">
        <v>50</v>
      </c>
      <c r="V398" s="11"/>
      <c r="W398" s="11"/>
      <c r="X398" s="11"/>
      <c r="Y398" s="11"/>
      <c r="Z398" s="11"/>
      <c r="AA398" s="11">
        <v>140</v>
      </c>
      <c r="AB398" s="11">
        <v>150</v>
      </c>
      <c r="AC398" s="11"/>
      <c r="AD398" s="11"/>
      <c r="AE398" s="11"/>
      <c r="AF398" s="11">
        <v>1150</v>
      </c>
      <c r="AG398" s="11">
        <v>30</v>
      </c>
      <c r="AH398" s="11"/>
      <c r="AI398" s="11"/>
      <c r="AJ398" s="11"/>
      <c r="AK398" s="11"/>
      <c r="AL398" s="11">
        <v>96</v>
      </c>
      <c r="AM398" s="11"/>
      <c r="AN398" s="11"/>
      <c r="AO398" s="11"/>
      <c r="AP398" s="11">
        <v>15</v>
      </c>
      <c r="AQ398" s="11">
        <v>1150</v>
      </c>
      <c r="AR398" s="11">
        <v>111</v>
      </c>
      <c r="AS398" s="11"/>
      <c r="AT398" s="11"/>
      <c r="AU398" s="11"/>
      <c r="AV398" s="20" t="str">
        <f>HYPERLINK("http://www.openstreetmap.org/?mlat=34.8235&amp;mlon=43.5222&amp;zoom=12#map=12/34.8235/43.5222","Maplink1")</f>
        <v>Maplink1</v>
      </c>
      <c r="AW398" s="20" t="str">
        <f>HYPERLINK("https://www.google.iq/maps/search/+34.8235,43.5222/@34.8235,43.5222,14z?hl=en","Maplink2")</f>
        <v>Maplink2</v>
      </c>
      <c r="AX398" s="20" t="str">
        <f>HYPERLINK("http://www.bing.com/maps/?lvl=14&amp;sty=h&amp;cp=34.8235~43.5222&amp;sp=point.34.8235_43.5222_Albu-tumah village-12","Maplink3")</f>
        <v>Maplink3</v>
      </c>
    </row>
    <row r="399" spans="1:50" x14ac:dyDescent="0.25">
      <c r="A399" s="9">
        <v>25742</v>
      </c>
      <c r="B399" s="10" t="s">
        <v>22</v>
      </c>
      <c r="C399" s="10" t="s">
        <v>758</v>
      </c>
      <c r="D399" s="10" t="s">
        <v>759</v>
      </c>
      <c r="E399" s="10" t="s">
        <v>760</v>
      </c>
      <c r="F399" s="10">
        <v>34.031260000000003</v>
      </c>
      <c r="G399" s="10">
        <v>44.227027</v>
      </c>
      <c r="H399" s="10" t="s">
        <v>736</v>
      </c>
      <c r="I399" s="10" t="s">
        <v>761</v>
      </c>
      <c r="J399" s="10"/>
      <c r="K399" s="11">
        <v>410</v>
      </c>
      <c r="L399" s="11">
        <v>2460</v>
      </c>
      <c r="M399" s="11"/>
      <c r="N399" s="11"/>
      <c r="O399" s="11">
        <v>386</v>
      </c>
      <c r="P399" s="11"/>
      <c r="Q399" s="11"/>
      <c r="R399" s="11"/>
      <c r="S399" s="11"/>
      <c r="T399" s="11"/>
      <c r="U399" s="11">
        <v>24</v>
      </c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>
        <v>410</v>
      </c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>
        <v>410</v>
      </c>
      <c r="AR399" s="11"/>
      <c r="AS399" s="11"/>
      <c r="AT399" s="11"/>
      <c r="AU399" s="11"/>
      <c r="AV399" s="20" t="str">
        <f>HYPERLINK("http://www.openstreetmap.org/?mlat=34.0313&amp;mlon=44.227&amp;zoom=12#map=12/34.0313/44.227","Maplink1")</f>
        <v>Maplink1</v>
      </c>
      <c r="AW399" s="20" t="str">
        <f>HYPERLINK("https://www.google.iq/maps/search/+34.0313,44.227/@34.0313,44.227,14z?hl=en","Maplink2")</f>
        <v>Maplink2</v>
      </c>
      <c r="AX399" s="20" t="str">
        <f>HYPERLINK("http://www.bing.com/maps/?lvl=14&amp;sty=h&amp;cp=34.0313~44.227&amp;sp=point.34.0313_44.227_Al-Duloeyah-Hay Al Jubor","Maplink3")</f>
        <v>Maplink3</v>
      </c>
    </row>
    <row r="400" spans="1:50" x14ac:dyDescent="0.25">
      <c r="A400" s="9">
        <v>20770</v>
      </c>
      <c r="B400" s="10" t="s">
        <v>22</v>
      </c>
      <c r="C400" s="10" t="s">
        <v>758</v>
      </c>
      <c r="D400" s="10" t="s">
        <v>762</v>
      </c>
      <c r="E400" s="10" t="s">
        <v>763</v>
      </c>
      <c r="F400" s="10">
        <v>34.045996000000002</v>
      </c>
      <c r="G400" s="10">
        <v>44.221314</v>
      </c>
      <c r="H400" s="10" t="s">
        <v>736</v>
      </c>
      <c r="I400" s="10" t="s">
        <v>761</v>
      </c>
      <c r="J400" s="10" t="s">
        <v>764</v>
      </c>
      <c r="K400" s="11">
        <v>388</v>
      </c>
      <c r="L400" s="11">
        <v>2328</v>
      </c>
      <c r="M400" s="11"/>
      <c r="N400" s="11"/>
      <c r="O400" s="11">
        <v>221</v>
      </c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>
        <v>167</v>
      </c>
      <c r="AB400" s="11"/>
      <c r="AC400" s="11"/>
      <c r="AD400" s="11"/>
      <c r="AE400" s="11"/>
      <c r="AF400" s="11">
        <v>388</v>
      </c>
      <c r="AG400" s="11"/>
      <c r="AH400" s="11"/>
      <c r="AI400" s="11"/>
      <c r="AJ400" s="11"/>
      <c r="AK400" s="11"/>
      <c r="AL400" s="11"/>
      <c r="AM400" s="11"/>
      <c r="AN400" s="11"/>
      <c r="AO400" s="11"/>
      <c r="AP400" s="11">
        <v>186</v>
      </c>
      <c r="AQ400" s="11">
        <v>202</v>
      </c>
      <c r="AR400" s="11"/>
      <c r="AS400" s="11"/>
      <c r="AT400" s="11"/>
      <c r="AU400" s="11"/>
      <c r="AV400" s="20" t="str">
        <f>HYPERLINK("http://www.openstreetmap.org/?mlat=34.046&amp;mlon=44.2213&amp;zoom=12#map=12/34.046/44.2213","Maplink1")</f>
        <v>Maplink1</v>
      </c>
      <c r="AW400" s="20" t="str">
        <f>HYPERLINK("https://www.google.iq/maps/search/+34.046,44.2213/@34.046,44.2213,14z?hl=en","Maplink2")</f>
        <v>Maplink2</v>
      </c>
      <c r="AX400" s="20" t="str">
        <f>HYPERLINK("http://www.bing.com/maps/?lvl=14&amp;sty=h&amp;cp=34.046~44.2213&amp;sp=point.34.046_44.2213_Al-Duloeyah-Hay khazraj","Maplink3")</f>
        <v>Maplink3</v>
      </c>
    </row>
    <row r="401" spans="1:50" x14ac:dyDescent="0.25">
      <c r="A401" s="9">
        <v>20921</v>
      </c>
      <c r="B401" s="10" t="s">
        <v>22</v>
      </c>
      <c r="C401" s="10" t="s">
        <v>758</v>
      </c>
      <c r="D401" s="10" t="s">
        <v>1043</v>
      </c>
      <c r="E401" s="10" t="s">
        <v>765</v>
      </c>
      <c r="F401" s="10">
        <v>34.016388999999997</v>
      </c>
      <c r="G401" s="10">
        <v>44.145277999999998</v>
      </c>
      <c r="H401" s="10" t="s">
        <v>736</v>
      </c>
      <c r="I401" s="10" t="s">
        <v>761</v>
      </c>
      <c r="J401" s="10" t="s">
        <v>766</v>
      </c>
      <c r="K401" s="11">
        <v>475</v>
      </c>
      <c r="L401" s="11">
        <v>2850</v>
      </c>
      <c r="M401" s="11"/>
      <c r="N401" s="11"/>
      <c r="O401" s="11">
        <v>200</v>
      </c>
      <c r="P401" s="11"/>
      <c r="Q401" s="11"/>
      <c r="R401" s="11"/>
      <c r="S401" s="11">
        <v>83</v>
      </c>
      <c r="T401" s="11"/>
      <c r="U401" s="11">
        <v>70</v>
      </c>
      <c r="V401" s="11"/>
      <c r="W401" s="11"/>
      <c r="X401" s="11"/>
      <c r="Y401" s="11"/>
      <c r="Z401" s="11"/>
      <c r="AA401" s="11">
        <v>113</v>
      </c>
      <c r="AB401" s="11">
        <v>9</v>
      </c>
      <c r="AC401" s="11"/>
      <c r="AD401" s="11"/>
      <c r="AE401" s="11"/>
      <c r="AF401" s="11">
        <v>437</v>
      </c>
      <c r="AG401" s="11"/>
      <c r="AH401" s="11"/>
      <c r="AI401" s="11"/>
      <c r="AJ401" s="11"/>
      <c r="AK401" s="11"/>
      <c r="AL401" s="11">
        <v>38</v>
      </c>
      <c r="AM401" s="11"/>
      <c r="AN401" s="11"/>
      <c r="AO401" s="11"/>
      <c r="AP401" s="11"/>
      <c r="AQ401" s="11">
        <v>415</v>
      </c>
      <c r="AR401" s="11">
        <v>60</v>
      </c>
      <c r="AS401" s="11"/>
      <c r="AT401" s="11"/>
      <c r="AU401" s="11"/>
      <c r="AV401" s="20" t="str">
        <f>HYPERLINK("http://www.openstreetmap.org/?mlat=34.0164&amp;mlon=44.1453&amp;zoom=12#map=12/34.0164/44.1453","Maplink1")</f>
        <v>Maplink1</v>
      </c>
      <c r="AW401" s="20" t="str">
        <f>HYPERLINK("https://www.google.iq/maps/search/+34.0164,44.1453/@34.0164,44.1453,14z?hl=en","Maplink2")</f>
        <v>Maplink2</v>
      </c>
      <c r="AX401" s="20" t="str">
        <f>HYPERLINK("http://www.bing.com/maps/?lvl=14&amp;sty=h&amp;cp=34.0164~44.1453&amp;sp=point.34.0164_44.1453_Al-Haweeja Al bahriya","Maplink3")</f>
        <v>Maplink3</v>
      </c>
    </row>
    <row r="402" spans="1:50" x14ac:dyDescent="0.25">
      <c r="A402" s="9">
        <v>20767</v>
      </c>
      <c r="B402" s="10" t="s">
        <v>22</v>
      </c>
      <c r="C402" s="10" t="s">
        <v>758</v>
      </c>
      <c r="D402" s="10" t="s">
        <v>767</v>
      </c>
      <c r="E402" s="10" t="s">
        <v>768</v>
      </c>
      <c r="F402" s="10">
        <v>34.009934000000001</v>
      </c>
      <c r="G402" s="10">
        <v>44.145673000000002</v>
      </c>
      <c r="H402" s="10" t="s">
        <v>736</v>
      </c>
      <c r="I402" s="10" t="s">
        <v>761</v>
      </c>
      <c r="J402" s="10" t="s">
        <v>769</v>
      </c>
      <c r="K402" s="11">
        <v>450</v>
      </c>
      <c r="L402" s="11">
        <v>2700</v>
      </c>
      <c r="M402" s="11"/>
      <c r="N402" s="11"/>
      <c r="O402" s="11">
        <v>123</v>
      </c>
      <c r="P402" s="11"/>
      <c r="Q402" s="11"/>
      <c r="R402" s="11"/>
      <c r="S402" s="11">
        <v>14</v>
      </c>
      <c r="T402" s="11"/>
      <c r="U402" s="11">
        <v>100</v>
      </c>
      <c r="V402" s="11"/>
      <c r="W402" s="11"/>
      <c r="X402" s="11"/>
      <c r="Y402" s="11"/>
      <c r="Z402" s="11"/>
      <c r="AA402" s="11">
        <v>213</v>
      </c>
      <c r="AB402" s="11"/>
      <c r="AC402" s="11"/>
      <c r="AD402" s="11"/>
      <c r="AE402" s="11"/>
      <c r="AF402" s="11">
        <v>428</v>
      </c>
      <c r="AG402" s="11">
        <v>7</v>
      </c>
      <c r="AH402" s="11"/>
      <c r="AI402" s="11"/>
      <c r="AJ402" s="11"/>
      <c r="AK402" s="11"/>
      <c r="AL402" s="11">
        <v>15</v>
      </c>
      <c r="AM402" s="11"/>
      <c r="AN402" s="11"/>
      <c r="AO402" s="11"/>
      <c r="AP402" s="11"/>
      <c r="AQ402" s="11">
        <v>200</v>
      </c>
      <c r="AR402" s="11">
        <v>250</v>
      </c>
      <c r="AS402" s="11"/>
      <c r="AT402" s="11"/>
      <c r="AU402" s="11"/>
      <c r="AV402" s="20" t="str">
        <f>HYPERLINK("http://www.openstreetmap.org/?mlat=34.0099&amp;mlon=44.1457&amp;zoom=12#map=12/34.0099/44.1457","Maplink1")</f>
        <v>Maplink1</v>
      </c>
      <c r="AW402" s="20" t="str">
        <f>HYPERLINK("https://www.google.iq/maps/search/+34.0099,44.1457/@34.0099,44.1457,14z?hl=en","Maplink2")</f>
        <v>Maplink2</v>
      </c>
      <c r="AX402" s="20" t="str">
        <f>HYPERLINK("http://www.bing.com/maps/?lvl=14&amp;sty=h&amp;cp=34.0099~44.1457&amp;sp=point.34.0099_44.1457_Albu Jewari","Maplink3")</f>
        <v>Maplink3</v>
      </c>
    </row>
    <row r="403" spans="1:50" x14ac:dyDescent="0.25">
      <c r="A403" s="9">
        <v>20773</v>
      </c>
      <c r="B403" s="10" t="s">
        <v>22</v>
      </c>
      <c r="C403" s="10" t="s">
        <v>758</v>
      </c>
      <c r="D403" s="10" t="s">
        <v>770</v>
      </c>
      <c r="E403" s="10" t="s">
        <v>771</v>
      </c>
      <c r="F403" s="10">
        <v>34.023504000000003</v>
      </c>
      <c r="G403" s="10">
        <v>44.197457</v>
      </c>
      <c r="H403" s="10" t="s">
        <v>736</v>
      </c>
      <c r="I403" s="10" t="s">
        <v>761</v>
      </c>
      <c r="J403" s="10" t="s">
        <v>772</v>
      </c>
      <c r="K403" s="11">
        <v>440</v>
      </c>
      <c r="L403" s="11">
        <v>2640</v>
      </c>
      <c r="M403" s="11"/>
      <c r="N403" s="11"/>
      <c r="O403" s="11">
        <v>266</v>
      </c>
      <c r="P403" s="11"/>
      <c r="Q403" s="11"/>
      <c r="R403" s="11"/>
      <c r="S403" s="11"/>
      <c r="T403" s="11"/>
      <c r="U403" s="11">
        <v>51</v>
      </c>
      <c r="V403" s="11"/>
      <c r="W403" s="11"/>
      <c r="X403" s="11"/>
      <c r="Y403" s="11"/>
      <c r="Z403" s="11"/>
      <c r="AA403" s="11">
        <v>123</v>
      </c>
      <c r="AB403" s="11"/>
      <c r="AC403" s="11"/>
      <c r="AD403" s="11"/>
      <c r="AE403" s="11"/>
      <c r="AF403" s="11">
        <v>423</v>
      </c>
      <c r="AG403" s="11">
        <v>17</v>
      </c>
      <c r="AH403" s="11"/>
      <c r="AI403" s="11"/>
      <c r="AJ403" s="11"/>
      <c r="AK403" s="11"/>
      <c r="AL403" s="11"/>
      <c r="AM403" s="11"/>
      <c r="AN403" s="11"/>
      <c r="AO403" s="11"/>
      <c r="AP403" s="11"/>
      <c r="AQ403" s="11">
        <v>200</v>
      </c>
      <c r="AR403" s="11">
        <v>60</v>
      </c>
      <c r="AS403" s="11">
        <v>180</v>
      </c>
      <c r="AT403" s="11"/>
      <c r="AU403" s="11"/>
      <c r="AV403" s="20" t="str">
        <f>HYPERLINK("http://www.openstreetmap.org/?mlat=34.0235&amp;mlon=44.1975&amp;zoom=12#map=12/34.0235/44.1975","Maplink1")</f>
        <v>Maplink1</v>
      </c>
      <c r="AW403" s="20" t="str">
        <f>HYPERLINK("https://www.google.iq/maps/search/+34.0235,44.1975/@34.0235,44.1975,14z?hl=en","Maplink2")</f>
        <v>Maplink2</v>
      </c>
      <c r="AX403" s="20" t="str">
        <f>HYPERLINK("http://www.bing.com/maps/?lvl=14&amp;sty=h&amp;cp=34.0235~44.1975&amp;sp=point.34.0235_44.1975_Beshakan village","Maplink3")</f>
        <v>Maplink3</v>
      </c>
    </row>
    <row r="404" spans="1:50" x14ac:dyDescent="0.25">
      <c r="A404" s="9">
        <v>29565</v>
      </c>
      <c r="B404" s="10" t="s">
        <v>22</v>
      </c>
      <c r="C404" s="10" t="s">
        <v>758</v>
      </c>
      <c r="D404" s="10" t="s">
        <v>773</v>
      </c>
      <c r="E404" s="10" t="s">
        <v>774</v>
      </c>
      <c r="F404" s="10">
        <v>34.026046999999998</v>
      </c>
      <c r="G404" s="10">
        <v>44.272404999999999</v>
      </c>
      <c r="H404" s="10" t="s">
        <v>736</v>
      </c>
      <c r="I404" s="10" t="s">
        <v>761</v>
      </c>
      <c r="J404" s="10"/>
      <c r="K404" s="11">
        <v>921</v>
      </c>
      <c r="L404" s="11">
        <v>5526</v>
      </c>
      <c r="M404" s="11"/>
      <c r="N404" s="11"/>
      <c r="O404" s="11">
        <v>80</v>
      </c>
      <c r="P404" s="11"/>
      <c r="Q404" s="11"/>
      <c r="R404" s="11"/>
      <c r="S404" s="11"/>
      <c r="T404" s="11"/>
      <c r="U404" s="11">
        <v>65</v>
      </c>
      <c r="V404" s="11"/>
      <c r="W404" s="11"/>
      <c r="X404" s="11"/>
      <c r="Y404" s="11"/>
      <c r="Z404" s="11"/>
      <c r="AA404" s="11">
        <v>776</v>
      </c>
      <c r="AB404" s="11"/>
      <c r="AC404" s="11"/>
      <c r="AD404" s="11"/>
      <c r="AE404" s="11"/>
      <c r="AF404" s="11">
        <v>886</v>
      </c>
      <c r="AG404" s="11">
        <v>35</v>
      </c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>
        <v>628</v>
      </c>
      <c r="AS404" s="11">
        <v>293</v>
      </c>
      <c r="AT404" s="11"/>
      <c r="AU404" s="11"/>
      <c r="AV404" s="20" t="str">
        <f>HYPERLINK("http://www.openstreetmap.org/?mlat=34.026&amp;mlon=44.2724&amp;zoom=12#map=12/34.026/44.2724","Maplink1")</f>
        <v>Maplink1</v>
      </c>
      <c r="AW404" s="20" t="str">
        <f>HYPERLINK("https://www.google.iq/maps/search/+34.026,44.2724/@34.026,44.2724,14z?hl=en","Maplink2")</f>
        <v>Maplink2</v>
      </c>
      <c r="AX404" s="20" t="str">
        <f>HYPERLINK("http://www.bing.com/maps/?lvl=14&amp;sty=h&amp;cp=34.026~44.2724&amp;sp=point.34.026_44.2724","Maplink3")</f>
        <v>Maplink3</v>
      </c>
    </row>
    <row r="405" spans="1:50" x14ac:dyDescent="0.25">
      <c r="A405" s="9">
        <v>25925</v>
      </c>
      <c r="B405" s="10" t="s">
        <v>22</v>
      </c>
      <c r="C405" s="10" t="s">
        <v>775</v>
      </c>
      <c r="D405" s="10" t="s">
        <v>1044</v>
      </c>
      <c r="E405" s="10" t="s">
        <v>1186</v>
      </c>
      <c r="F405" s="10">
        <v>34.298715999999999</v>
      </c>
      <c r="G405" s="10">
        <v>43.781556999999999</v>
      </c>
      <c r="H405" s="10" t="s">
        <v>736</v>
      </c>
      <c r="I405" s="10" t="s">
        <v>776</v>
      </c>
      <c r="J405" s="10"/>
      <c r="K405" s="11">
        <v>283</v>
      </c>
      <c r="L405" s="11">
        <v>1698</v>
      </c>
      <c r="M405" s="11"/>
      <c r="N405" s="11"/>
      <c r="O405" s="11"/>
      <c r="P405" s="11"/>
      <c r="Q405" s="11"/>
      <c r="R405" s="11"/>
      <c r="S405" s="11">
        <v>8</v>
      </c>
      <c r="T405" s="11"/>
      <c r="U405" s="11">
        <v>21</v>
      </c>
      <c r="V405" s="11"/>
      <c r="W405" s="11"/>
      <c r="X405" s="11"/>
      <c r="Y405" s="11"/>
      <c r="Z405" s="11"/>
      <c r="AA405" s="11">
        <v>244</v>
      </c>
      <c r="AB405" s="11">
        <v>10</v>
      </c>
      <c r="AC405" s="11"/>
      <c r="AD405" s="11"/>
      <c r="AE405" s="11"/>
      <c r="AF405" s="11">
        <v>283</v>
      </c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>
        <v>283</v>
      </c>
      <c r="AT405" s="11"/>
      <c r="AU405" s="11"/>
      <c r="AV405" s="20" t="str">
        <f>HYPERLINK("http://www.openstreetmap.org/?mlat=34.2987&amp;mlon=43.7816&amp;zoom=12#map=12/34.2987/43.7816","Maplink1")</f>
        <v>Maplink1</v>
      </c>
      <c r="AW405" s="20" t="str">
        <f>HYPERLINK("https://www.google.iq/maps/search/+34.2987,43.7816/@34.2987,43.7816,14z?hl=en","Maplink2")</f>
        <v>Maplink2</v>
      </c>
      <c r="AX405" s="20" t="str">
        <f>HYPERLINK("http://www.bing.com/maps/?lvl=14&amp;sty=h&amp;cp=34.2987~43.7816&amp;sp=point.34.2987_43.7816_Al-Abassyiah village","Maplink3")</f>
        <v>Maplink3</v>
      </c>
    </row>
    <row r="406" spans="1:50" x14ac:dyDescent="0.25">
      <c r="A406" s="9">
        <v>25895</v>
      </c>
      <c r="B406" s="10" t="s">
        <v>22</v>
      </c>
      <c r="C406" s="10" t="s">
        <v>775</v>
      </c>
      <c r="D406" s="10" t="s">
        <v>1045</v>
      </c>
      <c r="E406" s="10" t="s">
        <v>1187</v>
      </c>
      <c r="F406" s="10">
        <v>34.076352999999997</v>
      </c>
      <c r="G406" s="10">
        <v>44.065528</v>
      </c>
      <c r="H406" s="10" t="s">
        <v>736</v>
      </c>
      <c r="I406" s="10" t="s">
        <v>776</v>
      </c>
      <c r="J406" s="10"/>
      <c r="K406" s="11">
        <v>287</v>
      </c>
      <c r="L406" s="11">
        <v>1722</v>
      </c>
      <c r="M406" s="11"/>
      <c r="N406" s="11"/>
      <c r="O406" s="11"/>
      <c r="P406" s="11"/>
      <c r="Q406" s="11"/>
      <c r="R406" s="11"/>
      <c r="S406" s="11">
        <v>11</v>
      </c>
      <c r="T406" s="11"/>
      <c r="U406" s="11">
        <v>18</v>
      </c>
      <c r="V406" s="11"/>
      <c r="W406" s="11"/>
      <c r="X406" s="11"/>
      <c r="Y406" s="11"/>
      <c r="Z406" s="11"/>
      <c r="AA406" s="11">
        <v>251</v>
      </c>
      <c r="AB406" s="11">
        <v>7</v>
      </c>
      <c r="AC406" s="11"/>
      <c r="AD406" s="11"/>
      <c r="AE406" s="11"/>
      <c r="AF406" s="11">
        <v>271</v>
      </c>
      <c r="AG406" s="11"/>
      <c r="AH406" s="11"/>
      <c r="AI406" s="11">
        <v>16</v>
      </c>
      <c r="AJ406" s="11"/>
      <c r="AK406" s="11"/>
      <c r="AL406" s="11"/>
      <c r="AM406" s="11"/>
      <c r="AN406" s="11"/>
      <c r="AO406" s="11"/>
      <c r="AP406" s="11">
        <v>216</v>
      </c>
      <c r="AQ406" s="11"/>
      <c r="AR406" s="11">
        <v>71</v>
      </c>
      <c r="AS406" s="11"/>
      <c r="AT406" s="11"/>
      <c r="AU406" s="11"/>
      <c r="AV406" s="20" t="str">
        <f>HYPERLINK("http://www.openstreetmap.org/?mlat=34.0764&amp;mlon=44.0655&amp;zoom=12#map=12/34.0764/44.0655","Maplink1")</f>
        <v>Maplink1</v>
      </c>
      <c r="AW406" s="20" t="str">
        <f>HYPERLINK("https://www.google.iq/maps/search/+34.0764,44.0655/@34.0764,44.0655,14z?hl=en","Maplink2")</f>
        <v>Maplink2</v>
      </c>
      <c r="AX406" s="20" t="str">
        <f>HYPERLINK("http://www.bing.com/maps/?lvl=14&amp;sty=h&amp;cp=34.0764~44.0655&amp;sp=point.34.0764_44.0655_Al-Seeawiya 1","Maplink3")</f>
        <v>Maplink3</v>
      </c>
    </row>
    <row r="407" spans="1:50" x14ac:dyDescent="0.25">
      <c r="A407" s="9">
        <v>20673</v>
      </c>
      <c r="B407" s="10" t="s">
        <v>22</v>
      </c>
      <c r="C407" s="10" t="s">
        <v>775</v>
      </c>
      <c r="D407" s="10" t="s">
        <v>777</v>
      </c>
      <c r="E407" s="10" t="s">
        <v>778</v>
      </c>
      <c r="F407" s="10">
        <v>34.250664</v>
      </c>
      <c r="G407" s="10">
        <v>43.983046000000002</v>
      </c>
      <c r="H407" s="10" t="s">
        <v>736</v>
      </c>
      <c r="I407" s="10" t="s">
        <v>776</v>
      </c>
      <c r="J407" s="10" t="s">
        <v>779</v>
      </c>
      <c r="K407" s="11">
        <v>681</v>
      </c>
      <c r="L407" s="11">
        <v>4086</v>
      </c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>
        <v>681</v>
      </c>
      <c r="AB407" s="11"/>
      <c r="AC407" s="11"/>
      <c r="AD407" s="11"/>
      <c r="AE407" s="11"/>
      <c r="AF407" s="11">
        <v>681</v>
      </c>
      <c r="AG407" s="11"/>
      <c r="AH407" s="11"/>
      <c r="AI407" s="11"/>
      <c r="AJ407" s="11"/>
      <c r="AK407" s="11"/>
      <c r="AL407" s="11"/>
      <c r="AM407" s="11"/>
      <c r="AN407" s="11"/>
      <c r="AO407" s="11"/>
      <c r="AP407" s="11">
        <v>269</v>
      </c>
      <c r="AQ407" s="11"/>
      <c r="AR407" s="11"/>
      <c r="AS407" s="11">
        <v>412</v>
      </c>
      <c r="AT407" s="11"/>
      <c r="AU407" s="11"/>
      <c r="AV407" s="20" t="str">
        <f>HYPERLINK("http://www.openstreetmap.org/?mlat=34.2507&amp;mlon=43.983&amp;zoom=12#map=12/34.2507/43.983","Maplink1")</f>
        <v>Maplink1</v>
      </c>
      <c r="AW407" s="20" t="str">
        <f>HYPERLINK("https://www.google.iq/maps/search/+34.2507,43.983/@34.2507,43.983,14z?hl=en","Maplink2")</f>
        <v>Maplink2</v>
      </c>
      <c r="AX407" s="20" t="str">
        <f>HYPERLINK("http://www.bing.com/maps/?lvl=14&amp;sty=h&amp;cp=34.2507~43.983&amp;sp=point.34.2507_43.983_Al-Jillam area","Maplink3")</f>
        <v>Maplink3</v>
      </c>
    </row>
    <row r="408" spans="1:50" x14ac:dyDescent="0.25">
      <c r="A408" s="9">
        <v>23774</v>
      </c>
      <c r="B408" s="10" t="s">
        <v>22</v>
      </c>
      <c r="C408" s="10" t="s">
        <v>775</v>
      </c>
      <c r="D408" s="10" t="s">
        <v>780</v>
      </c>
      <c r="E408" s="10" t="s">
        <v>781</v>
      </c>
      <c r="F408" s="10">
        <v>34.076965000000001</v>
      </c>
      <c r="G408" s="10">
        <v>44.064309999999999</v>
      </c>
      <c r="H408" s="10" t="s">
        <v>736</v>
      </c>
      <c r="I408" s="10" t="s">
        <v>776</v>
      </c>
      <c r="J408" s="10" t="s">
        <v>782</v>
      </c>
      <c r="K408" s="11">
        <v>352</v>
      </c>
      <c r="L408" s="11">
        <v>2112</v>
      </c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>
        <v>352</v>
      </c>
      <c r="AB408" s="11"/>
      <c r="AC408" s="11"/>
      <c r="AD408" s="11"/>
      <c r="AE408" s="11"/>
      <c r="AF408" s="11">
        <v>352</v>
      </c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>
        <v>352</v>
      </c>
      <c r="AS408" s="11"/>
      <c r="AT408" s="11"/>
      <c r="AU408" s="11"/>
      <c r="AV408" s="20" t="str">
        <f>HYPERLINK("http://www.openstreetmap.org/?mlat=34.077&amp;mlon=44.0643&amp;zoom=12#map=12/34.077/44.0643","Maplink1")</f>
        <v>Maplink1</v>
      </c>
      <c r="AW408" s="20" t="str">
        <f>HYPERLINK("https://www.google.iq/maps/search/+34.077,44.0643/@34.077,44.0643,14z?hl=en","Maplink2")</f>
        <v>Maplink2</v>
      </c>
      <c r="AX408" s="20" t="str">
        <f>HYPERLINK("http://www.bing.com/maps/?lvl=14&amp;sty=h&amp;cp=34.077~44.0643&amp;sp=point.34.077_44.0643_Al-Tresha-Albu Fahed","Maplink3")</f>
        <v>Maplink3</v>
      </c>
    </row>
    <row r="409" spans="1:50" x14ac:dyDescent="0.25">
      <c r="A409" s="9">
        <v>23775</v>
      </c>
      <c r="B409" s="10" t="s">
        <v>22</v>
      </c>
      <c r="C409" s="10" t="s">
        <v>775</v>
      </c>
      <c r="D409" s="10" t="s">
        <v>783</v>
      </c>
      <c r="E409" s="10" t="s">
        <v>784</v>
      </c>
      <c r="F409" s="10">
        <v>34.077942</v>
      </c>
      <c r="G409" s="10">
        <v>44.063718000000001</v>
      </c>
      <c r="H409" s="10" t="s">
        <v>736</v>
      </c>
      <c r="I409" s="10" t="s">
        <v>776</v>
      </c>
      <c r="J409" s="10" t="s">
        <v>785</v>
      </c>
      <c r="K409" s="11">
        <v>198</v>
      </c>
      <c r="L409" s="11">
        <v>1188</v>
      </c>
      <c r="M409" s="11"/>
      <c r="N409" s="11"/>
      <c r="O409" s="11"/>
      <c r="P409" s="11"/>
      <c r="Q409" s="11"/>
      <c r="R409" s="11"/>
      <c r="S409" s="11"/>
      <c r="T409" s="11"/>
      <c r="U409" s="11">
        <v>39</v>
      </c>
      <c r="V409" s="11"/>
      <c r="W409" s="11"/>
      <c r="X409" s="11"/>
      <c r="Y409" s="11"/>
      <c r="Z409" s="11"/>
      <c r="AA409" s="11">
        <v>136</v>
      </c>
      <c r="AB409" s="11">
        <v>23</v>
      </c>
      <c r="AC409" s="11"/>
      <c r="AD409" s="11"/>
      <c r="AE409" s="11"/>
      <c r="AF409" s="11">
        <v>198</v>
      </c>
      <c r="AG409" s="11"/>
      <c r="AH409" s="11"/>
      <c r="AI409" s="11"/>
      <c r="AJ409" s="11"/>
      <c r="AK409" s="11"/>
      <c r="AL409" s="11"/>
      <c r="AM409" s="11"/>
      <c r="AN409" s="11"/>
      <c r="AO409" s="11"/>
      <c r="AP409" s="11">
        <v>160</v>
      </c>
      <c r="AQ409" s="11"/>
      <c r="AR409" s="11">
        <v>38</v>
      </c>
      <c r="AS409" s="11"/>
      <c r="AT409" s="11"/>
      <c r="AU409" s="11"/>
      <c r="AV409" s="20" t="str">
        <f>HYPERLINK("http://www.openstreetmap.org/?mlat=34.0779&amp;mlon=44.0637&amp;zoom=12#map=12/34.0779/44.0637","Maplink1")</f>
        <v>Maplink1</v>
      </c>
      <c r="AW409" s="20" t="str">
        <f>HYPERLINK("https://www.google.iq/maps/search/+34.0779,44.0637/@34.0779,44.0637,14z?hl=en","Maplink2")</f>
        <v>Maplink2</v>
      </c>
      <c r="AX409" s="20" t="str">
        <f>HYPERLINK("http://www.bing.com/maps/?lvl=14&amp;sty=h&amp;cp=34.0779~44.0637&amp;sp=point.34.0779_44.0637_Al-Tresha-Albu Shatb","Maplink3")</f>
        <v>Maplink3</v>
      </c>
    </row>
    <row r="410" spans="1:50" x14ac:dyDescent="0.25">
      <c r="A410" s="9">
        <v>20752</v>
      </c>
      <c r="B410" s="10" t="s">
        <v>22</v>
      </c>
      <c r="C410" s="10" t="s">
        <v>775</v>
      </c>
      <c r="D410" s="10" t="s">
        <v>786</v>
      </c>
      <c r="E410" s="10" t="s">
        <v>787</v>
      </c>
      <c r="F410" s="10">
        <v>34.368115000000003</v>
      </c>
      <c r="G410" s="10">
        <v>43.660998999999997</v>
      </c>
      <c r="H410" s="10" t="s">
        <v>736</v>
      </c>
      <c r="I410" s="10" t="s">
        <v>776</v>
      </c>
      <c r="J410" s="10" t="s">
        <v>788</v>
      </c>
      <c r="K410" s="11">
        <v>1867</v>
      </c>
      <c r="L410" s="11">
        <v>11202</v>
      </c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>
        <v>1867</v>
      </c>
      <c r="AB410" s="11"/>
      <c r="AC410" s="11"/>
      <c r="AD410" s="11"/>
      <c r="AE410" s="11"/>
      <c r="AF410" s="11">
        <v>1867</v>
      </c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>
        <v>201</v>
      </c>
      <c r="AU410" s="11">
        <v>1666</v>
      </c>
      <c r="AV410" s="20" t="str">
        <f>HYPERLINK("http://www.openstreetmap.org/?mlat=34.3681&amp;mlon=43.661&amp;zoom=12#map=12/34.3681/43.661","Maplink1")</f>
        <v>Maplink1</v>
      </c>
      <c r="AW410" s="20" t="str">
        <f>HYPERLINK("https://www.google.iq/maps/search/+34.3681,43.661/@34.3681,43.661,14z?hl=en","Maplink2")</f>
        <v>Maplink2</v>
      </c>
      <c r="AX410" s="20" t="str">
        <f>HYPERLINK("http://www.bing.com/maps/?lvl=14&amp;sty=h&amp;cp=34.3681~43.661&amp;sp=point.34.3681_43.661_Al_Jazera","Maplink3")</f>
        <v>Maplink3</v>
      </c>
    </row>
    <row r="411" spans="1:50" x14ac:dyDescent="0.25">
      <c r="A411" s="9">
        <v>25926</v>
      </c>
      <c r="B411" s="10" t="s">
        <v>22</v>
      </c>
      <c r="C411" s="10" t="s">
        <v>775</v>
      </c>
      <c r="D411" s="10" t="s">
        <v>1046</v>
      </c>
      <c r="E411" s="10" t="s">
        <v>789</v>
      </c>
      <c r="F411" s="10">
        <v>34.258130000000001</v>
      </c>
      <c r="G411" s="10">
        <v>43.853234999999998</v>
      </c>
      <c r="H411" s="10" t="s">
        <v>736</v>
      </c>
      <c r="I411" s="10" t="s">
        <v>776</v>
      </c>
      <c r="J411" s="10"/>
      <c r="K411" s="11">
        <v>435</v>
      </c>
      <c r="L411" s="11">
        <v>2610</v>
      </c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>
        <v>435</v>
      </c>
      <c r="AB411" s="11"/>
      <c r="AC411" s="11"/>
      <c r="AD411" s="11"/>
      <c r="AE411" s="11"/>
      <c r="AF411" s="11">
        <v>435</v>
      </c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>
        <v>435</v>
      </c>
      <c r="AT411" s="11"/>
      <c r="AU411" s="11"/>
      <c r="AV411" s="20" t="str">
        <f>HYPERLINK("http://www.openstreetmap.org/?mlat=34.2581&amp;mlon=43.8532&amp;zoom=12#map=12/34.2581/43.8532","Maplink1")</f>
        <v>Maplink1</v>
      </c>
      <c r="AW411" s="20" t="str">
        <f>HYPERLINK("https://www.google.iq/maps/search/+34.2581,43.8532/@34.2581,43.8532,14z?hl=en","Maplink2")</f>
        <v>Maplink2</v>
      </c>
      <c r="AX411" s="20" t="str">
        <f>HYPERLINK("http://www.bing.com/maps/?lvl=14&amp;sty=h&amp;cp=34.2581~43.8532&amp;sp=point.34.2581_43.8532_Hawi Al-bsat","Maplink3")</f>
        <v>Maplink3</v>
      </c>
    </row>
    <row r="412" spans="1:50" x14ac:dyDescent="0.25">
      <c r="A412" s="9">
        <v>25924</v>
      </c>
      <c r="B412" s="10" t="s">
        <v>22</v>
      </c>
      <c r="C412" s="10" t="s">
        <v>775</v>
      </c>
      <c r="D412" s="10" t="s">
        <v>790</v>
      </c>
      <c r="E412" s="10" t="s">
        <v>1188</v>
      </c>
      <c r="F412" s="10">
        <v>34.208210000000001</v>
      </c>
      <c r="G412" s="10">
        <v>43.783518999999998</v>
      </c>
      <c r="H412" s="10" t="s">
        <v>736</v>
      </c>
      <c r="I412" s="10" t="s">
        <v>776</v>
      </c>
      <c r="J412" s="10"/>
      <c r="K412" s="11">
        <v>391</v>
      </c>
      <c r="L412" s="11">
        <v>2346</v>
      </c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>
        <v>391</v>
      </c>
      <c r="AB412" s="11"/>
      <c r="AC412" s="11"/>
      <c r="AD412" s="11"/>
      <c r="AE412" s="11"/>
      <c r="AF412" s="11">
        <v>391</v>
      </c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>
        <v>391</v>
      </c>
      <c r="AT412" s="11"/>
      <c r="AU412" s="11"/>
      <c r="AV412" s="20" t="str">
        <f>HYPERLINK("http://www.openstreetmap.org/?mlat=34.2082&amp;mlon=43.7835&amp;zoom=12#map=12/34.2082/43.7835","Maplink1")</f>
        <v>Maplink1</v>
      </c>
      <c r="AW412" s="20" t="str">
        <f>HYPERLINK("https://www.google.iq/maps/search/+34.2082,43.7835/@34.2082,43.7835,14z?hl=en","Maplink2")</f>
        <v>Maplink2</v>
      </c>
      <c r="AX412" s="20" t="str">
        <f>HYPERLINK("http://www.bing.com/maps/?lvl=14&amp;sty=h&amp;cp=34.2082~43.7835&amp;sp=point.34.2082_43.7835_Huiesh village","Maplink3")</f>
        <v>Maplink3</v>
      </c>
    </row>
    <row r="413" spans="1:50" x14ac:dyDescent="0.25">
      <c r="A413" s="9">
        <v>26033</v>
      </c>
      <c r="B413" s="10" t="s">
        <v>22</v>
      </c>
      <c r="C413" s="10" t="s">
        <v>775</v>
      </c>
      <c r="D413" s="10" t="s">
        <v>791</v>
      </c>
      <c r="E413" s="10" t="s">
        <v>792</v>
      </c>
      <c r="F413" s="10">
        <v>34.366498</v>
      </c>
      <c r="G413" s="10">
        <v>43.746791999999999</v>
      </c>
      <c r="H413" s="10" t="s">
        <v>736</v>
      </c>
      <c r="I413" s="10" t="s">
        <v>776</v>
      </c>
      <c r="J413" s="10"/>
      <c r="K413" s="11">
        <v>2400</v>
      </c>
      <c r="L413" s="11">
        <v>14400</v>
      </c>
      <c r="M413" s="11"/>
      <c r="N413" s="11"/>
      <c r="O413" s="11">
        <v>215</v>
      </c>
      <c r="P413" s="11"/>
      <c r="Q413" s="11"/>
      <c r="R413" s="11"/>
      <c r="S413" s="11">
        <v>23</v>
      </c>
      <c r="T413" s="11"/>
      <c r="U413" s="11">
        <v>55</v>
      </c>
      <c r="V413" s="11"/>
      <c r="W413" s="11"/>
      <c r="X413" s="11"/>
      <c r="Y413" s="11"/>
      <c r="Z413" s="11"/>
      <c r="AA413" s="11">
        <v>2077</v>
      </c>
      <c r="AB413" s="11">
        <v>30</v>
      </c>
      <c r="AC413" s="11"/>
      <c r="AD413" s="11"/>
      <c r="AE413" s="11"/>
      <c r="AF413" s="11">
        <v>2000</v>
      </c>
      <c r="AG413" s="11"/>
      <c r="AH413" s="11"/>
      <c r="AI413" s="11"/>
      <c r="AJ413" s="11"/>
      <c r="AK413" s="11"/>
      <c r="AL413" s="11"/>
      <c r="AM413" s="11"/>
      <c r="AN413" s="11"/>
      <c r="AO413" s="11">
        <v>400</v>
      </c>
      <c r="AP413" s="11">
        <v>1400</v>
      </c>
      <c r="AQ413" s="11">
        <v>490</v>
      </c>
      <c r="AR413" s="11">
        <v>220</v>
      </c>
      <c r="AS413" s="11">
        <v>290</v>
      </c>
      <c r="AT413" s="11"/>
      <c r="AU413" s="11"/>
      <c r="AV413" s="20" t="str">
        <f>HYPERLINK("http://www.openstreetmap.org/?mlat=34.3665&amp;mlon=43.7468&amp;zoom=12#map=12/34.3665/43.7468","Maplink1")</f>
        <v>Maplink1</v>
      </c>
      <c r="AW413" s="20" t="str">
        <f>HYPERLINK("https://www.google.iq/maps/search/+34.3665,43.7468/@34.3665,43.7468,14z?hl=en","Maplink2")</f>
        <v>Maplink2</v>
      </c>
      <c r="AX413" s="20" t="str">
        <f>HYPERLINK("http://www.bing.com/maps/?lvl=14&amp;sty=h&amp;cp=34.3665~43.7468&amp;sp=point.34.3665_43.7468_Mahala mkeasheefa","Maplink3")</f>
        <v>Maplink3</v>
      </c>
    </row>
    <row r="414" spans="1:50" x14ac:dyDescent="0.25">
      <c r="A414" s="9">
        <v>23702</v>
      </c>
      <c r="B414" s="10" t="s">
        <v>22</v>
      </c>
      <c r="C414" s="10" t="s">
        <v>793</v>
      </c>
      <c r="D414" s="10" t="s">
        <v>1047</v>
      </c>
      <c r="E414" s="10" t="s">
        <v>1189</v>
      </c>
      <c r="F414" s="10">
        <v>34.662443000000003</v>
      </c>
      <c r="G414" s="10">
        <v>43.646740999999999</v>
      </c>
      <c r="H414" s="10" t="s">
        <v>736</v>
      </c>
      <c r="I414" s="10" t="s">
        <v>796</v>
      </c>
      <c r="J414" s="10" t="s">
        <v>807</v>
      </c>
      <c r="K414" s="11">
        <v>1096</v>
      </c>
      <c r="L414" s="11">
        <v>6576</v>
      </c>
      <c r="M414" s="11"/>
      <c r="N414" s="11"/>
      <c r="O414" s="11">
        <v>100</v>
      </c>
      <c r="P414" s="11"/>
      <c r="Q414" s="11">
        <v>100</v>
      </c>
      <c r="R414" s="11"/>
      <c r="S414" s="11">
        <v>300</v>
      </c>
      <c r="T414" s="11"/>
      <c r="U414" s="11">
        <v>445</v>
      </c>
      <c r="V414" s="11"/>
      <c r="W414" s="11"/>
      <c r="X414" s="11"/>
      <c r="Y414" s="11"/>
      <c r="Z414" s="11"/>
      <c r="AA414" s="11">
        <v>111</v>
      </c>
      <c r="AB414" s="11">
        <v>40</v>
      </c>
      <c r="AC414" s="11"/>
      <c r="AD414" s="11"/>
      <c r="AE414" s="11"/>
      <c r="AF414" s="11">
        <v>954</v>
      </c>
      <c r="AG414" s="11"/>
      <c r="AH414" s="11"/>
      <c r="AI414" s="11">
        <v>30</v>
      </c>
      <c r="AJ414" s="11"/>
      <c r="AK414" s="11"/>
      <c r="AL414" s="11">
        <v>112</v>
      </c>
      <c r="AM414" s="11"/>
      <c r="AN414" s="11"/>
      <c r="AO414" s="11"/>
      <c r="AP414" s="11"/>
      <c r="AQ414" s="11">
        <v>606</v>
      </c>
      <c r="AR414" s="11">
        <v>400</v>
      </c>
      <c r="AS414" s="11">
        <v>85</v>
      </c>
      <c r="AT414" s="11"/>
      <c r="AU414" s="11">
        <v>5</v>
      </c>
      <c r="AV414" s="20" t="str">
        <f>HYPERLINK("http://www.openstreetmap.org/?mlat=34.6624&amp;mlon=43.6467&amp;zoom=12#map=12/34.6624/43.6467","Maplink1")</f>
        <v>Maplink1</v>
      </c>
      <c r="AW414" s="20" t="str">
        <f>HYPERLINK("https://www.google.iq/maps/search/+34.6624,43.6467/@34.6624,43.6467,14z?hl=en","Maplink2")</f>
        <v>Maplink2</v>
      </c>
      <c r="AX414" s="20" t="str">
        <f>HYPERLINK("http://www.bing.com/maps/?lvl=14&amp;sty=h&amp;cp=34.6624~43.6467&amp;sp=point.34.6624_43.6467_Al Qadissiya-218-500","Maplink3")</f>
        <v>Maplink3</v>
      </c>
    </row>
    <row r="415" spans="1:50" x14ac:dyDescent="0.25">
      <c r="A415" s="9">
        <v>23145</v>
      </c>
      <c r="B415" s="10" t="s">
        <v>22</v>
      </c>
      <c r="C415" s="10" t="s">
        <v>793</v>
      </c>
      <c r="D415" s="10" t="s">
        <v>794</v>
      </c>
      <c r="E415" s="10" t="s">
        <v>795</v>
      </c>
      <c r="F415" s="10">
        <v>34.720933000000002</v>
      </c>
      <c r="G415" s="10">
        <v>43.710464999999999</v>
      </c>
      <c r="H415" s="10" t="s">
        <v>736</v>
      </c>
      <c r="I415" s="10" t="s">
        <v>796</v>
      </c>
      <c r="J415" s="10" t="s">
        <v>797</v>
      </c>
      <c r="K415" s="11">
        <v>750</v>
      </c>
      <c r="L415" s="11">
        <v>4500</v>
      </c>
      <c r="M415" s="11"/>
      <c r="N415" s="11"/>
      <c r="O415" s="11">
        <v>33</v>
      </c>
      <c r="P415" s="11"/>
      <c r="Q415" s="11"/>
      <c r="R415" s="11"/>
      <c r="S415" s="11">
        <v>38</v>
      </c>
      <c r="T415" s="11"/>
      <c r="U415" s="11">
        <v>409</v>
      </c>
      <c r="V415" s="11"/>
      <c r="W415" s="11"/>
      <c r="X415" s="11"/>
      <c r="Y415" s="11"/>
      <c r="Z415" s="11"/>
      <c r="AA415" s="11">
        <v>253</v>
      </c>
      <c r="AB415" s="11">
        <v>17</v>
      </c>
      <c r="AC415" s="11"/>
      <c r="AD415" s="11"/>
      <c r="AE415" s="11"/>
      <c r="AF415" s="11">
        <v>750</v>
      </c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>
        <v>400</v>
      </c>
      <c r="AR415" s="11">
        <v>350</v>
      </c>
      <c r="AS415" s="11"/>
      <c r="AT415" s="11"/>
      <c r="AU415" s="11"/>
      <c r="AV415" s="20" t="str">
        <f>HYPERLINK("http://www.openstreetmap.org/?mlat=34.7209&amp;mlon=43.7105&amp;zoom=12#map=12/34.7209/43.7105","Maplink1")</f>
        <v>Maplink1</v>
      </c>
      <c r="AW415" s="20" t="str">
        <f>HYPERLINK("https://www.google.iq/maps/search/+34.7209,43.7105/@34.7209,43.7105,14z?hl=en","Maplink2")</f>
        <v>Maplink2</v>
      </c>
      <c r="AX415" s="20" t="str">
        <f>HYPERLINK("http://www.bing.com/maps/?lvl=14&amp;sty=h&amp;cp=34.7209~43.7105&amp;sp=point.34.7209_43.7105_Al Ahad Al Jadid village","Maplink3")</f>
        <v>Maplink3</v>
      </c>
    </row>
    <row r="416" spans="1:50" x14ac:dyDescent="0.25">
      <c r="A416" s="9">
        <v>23244</v>
      </c>
      <c r="B416" s="10" t="s">
        <v>22</v>
      </c>
      <c r="C416" s="10" t="s">
        <v>793</v>
      </c>
      <c r="D416" s="10" t="s">
        <v>798</v>
      </c>
      <c r="E416" s="10" t="s">
        <v>1190</v>
      </c>
      <c r="F416" s="10">
        <v>34.635145000000001</v>
      </c>
      <c r="G416" s="10">
        <v>43.732593000000001</v>
      </c>
      <c r="H416" s="10" t="s">
        <v>736</v>
      </c>
      <c r="I416" s="10" t="s">
        <v>796</v>
      </c>
      <c r="J416" s="10" t="s">
        <v>799</v>
      </c>
      <c r="K416" s="11">
        <v>292</v>
      </c>
      <c r="L416" s="11">
        <v>1752</v>
      </c>
      <c r="M416" s="11"/>
      <c r="N416" s="11"/>
      <c r="O416" s="11">
        <v>14</v>
      </c>
      <c r="P416" s="11"/>
      <c r="Q416" s="11"/>
      <c r="R416" s="11"/>
      <c r="S416" s="11">
        <v>29</v>
      </c>
      <c r="T416" s="11"/>
      <c r="U416" s="11">
        <v>116</v>
      </c>
      <c r="V416" s="11"/>
      <c r="W416" s="11"/>
      <c r="X416" s="11"/>
      <c r="Y416" s="11"/>
      <c r="Z416" s="11"/>
      <c r="AA416" s="11">
        <v>133</v>
      </c>
      <c r="AB416" s="11"/>
      <c r="AC416" s="11"/>
      <c r="AD416" s="11"/>
      <c r="AE416" s="11"/>
      <c r="AF416" s="11">
        <v>280</v>
      </c>
      <c r="AG416" s="11"/>
      <c r="AH416" s="11"/>
      <c r="AI416" s="11"/>
      <c r="AJ416" s="11"/>
      <c r="AK416" s="11"/>
      <c r="AL416" s="11">
        <v>12</v>
      </c>
      <c r="AM416" s="11"/>
      <c r="AN416" s="11"/>
      <c r="AO416" s="11"/>
      <c r="AP416" s="11"/>
      <c r="AQ416" s="11">
        <v>280</v>
      </c>
      <c r="AR416" s="11">
        <v>12</v>
      </c>
      <c r="AS416" s="11"/>
      <c r="AT416" s="11"/>
      <c r="AU416" s="11"/>
      <c r="AV416" s="20" t="str">
        <f>HYPERLINK("http://www.openstreetmap.org/?mlat=34.6351&amp;mlon=43.7326&amp;zoom=12#map=12/34.6351/43.7326","Maplink1")</f>
        <v>Maplink1</v>
      </c>
      <c r="AW416" s="20" t="str">
        <f>HYPERLINK("https://www.google.iq/maps/search/+34.6351,43.7326/@34.6351,43.7326,14z?hl=en","Maplink2")</f>
        <v>Maplink2</v>
      </c>
      <c r="AX416" s="20" t="str">
        <f>HYPERLINK("http://www.bing.com/maps/?lvl=14&amp;sty=h&amp;cp=34.6351~43.7326&amp;sp=point.34.6351_43.7326_Al Askari village","Maplink3")</f>
        <v>Maplink3</v>
      </c>
    </row>
    <row r="417" spans="1:50" x14ac:dyDescent="0.25">
      <c r="A417" s="9">
        <v>25949</v>
      </c>
      <c r="B417" s="10" t="s">
        <v>22</v>
      </c>
      <c r="C417" s="10" t="s">
        <v>793</v>
      </c>
      <c r="D417" s="10" t="s">
        <v>1048</v>
      </c>
      <c r="E417" s="10" t="s">
        <v>1191</v>
      </c>
      <c r="F417" s="10">
        <v>34.889805000000003</v>
      </c>
      <c r="G417" s="10">
        <v>43.548701000000001</v>
      </c>
      <c r="H417" s="10" t="s">
        <v>736</v>
      </c>
      <c r="I417" s="10" t="s">
        <v>796</v>
      </c>
      <c r="J417" s="10"/>
      <c r="K417" s="11">
        <v>400</v>
      </c>
      <c r="L417" s="11">
        <v>2400</v>
      </c>
      <c r="M417" s="11"/>
      <c r="N417" s="11"/>
      <c r="O417" s="11"/>
      <c r="P417" s="11"/>
      <c r="Q417" s="11"/>
      <c r="R417" s="11"/>
      <c r="S417" s="11"/>
      <c r="T417" s="11"/>
      <c r="U417" s="11">
        <v>200</v>
      </c>
      <c r="V417" s="11"/>
      <c r="W417" s="11"/>
      <c r="X417" s="11"/>
      <c r="Y417" s="11"/>
      <c r="Z417" s="11"/>
      <c r="AA417" s="11">
        <v>200</v>
      </c>
      <c r="AB417" s="11"/>
      <c r="AC417" s="11"/>
      <c r="AD417" s="11"/>
      <c r="AE417" s="11"/>
      <c r="AF417" s="11">
        <v>390</v>
      </c>
      <c r="AG417" s="11"/>
      <c r="AH417" s="11"/>
      <c r="AI417" s="11">
        <v>10</v>
      </c>
      <c r="AJ417" s="11"/>
      <c r="AK417" s="11"/>
      <c r="AL417" s="11"/>
      <c r="AM417" s="11"/>
      <c r="AN417" s="11"/>
      <c r="AO417" s="11"/>
      <c r="AP417" s="11"/>
      <c r="AQ417" s="11"/>
      <c r="AR417" s="11"/>
      <c r="AS417" s="11">
        <v>400</v>
      </c>
      <c r="AT417" s="11"/>
      <c r="AU417" s="11"/>
      <c r="AV417" s="20" t="str">
        <f>HYPERLINK("http://www.openstreetmap.org/?mlat=34.8898&amp;mlon=43.5487&amp;zoom=12#map=12/34.8898/43.5487","Maplink1")</f>
        <v>Maplink1</v>
      </c>
      <c r="AW417" s="20" t="str">
        <f>HYPERLINK("https://www.google.iq/maps/search/+34.8898,43.5487/@34.8898,43.5487,14z?hl=en","Maplink2")</f>
        <v>Maplink2</v>
      </c>
      <c r="AX417" s="20" t="str">
        <f>HYPERLINK("http://www.bing.com/maps/?lvl=14&amp;sty=h&amp;cp=34.8898~43.5487&amp;sp=point.34.8898_43.5487_Al-Bzikhah village","Maplink3")</f>
        <v>Maplink3</v>
      </c>
    </row>
    <row r="418" spans="1:50" x14ac:dyDescent="0.25">
      <c r="A418" s="9">
        <v>25569</v>
      </c>
      <c r="B418" s="10" t="s">
        <v>22</v>
      </c>
      <c r="C418" s="10" t="s">
        <v>793</v>
      </c>
      <c r="D418" s="10" t="s">
        <v>800</v>
      </c>
      <c r="E418" s="10" t="s">
        <v>1192</v>
      </c>
      <c r="F418" s="10">
        <v>34.710731000000003</v>
      </c>
      <c r="G418" s="10">
        <v>43.678510000000003</v>
      </c>
      <c r="H418" s="10" t="s">
        <v>736</v>
      </c>
      <c r="I418" s="10" t="s">
        <v>796</v>
      </c>
      <c r="J418" s="10"/>
      <c r="K418" s="11">
        <v>200</v>
      </c>
      <c r="L418" s="11">
        <v>1200</v>
      </c>
      <c r="M418" s="11"/>
      <c r="N418" s="11"/>
      <c r="O418" s="11"/>
      <c r="P418" s="11"/>
      <c r="Q418" s="11"/>
      <c r="R418" s="11"/>
      <c r="S418" s="11">
        <v>19</v>
      </c>
      <c r="T418" s="11"/>
      <c r="U418" s="11">
        <v>174</v>
      </c>
      <c r="V418" s="11"/>
      <c r="W418" s="11"/>
      <c r="X418" s="11"/>
      <c r="Y418" s="11"/>
      <c r="Z418" s="11"/>
      <c r="AA418" s="11"/>
      <c r="AB418" s="11">
        <v>7</v>
      </c>
      <c r="AC418" s="11"/>
      <c r="AD418" s="11"/>
      <c r="AE418" s="11"/>
      <c r="AF418" s="11">
        <v>200</v>
      </c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>
        <v>174</v>
      </c>
      <c r="AS418" s="11">
        <v>26</v>
      </c>
      <c r="AT418" s="11"/>
      <c r="AU418" s="11"/>
      <c r="AV418" s="20" t="str">
        <f>HYPERLINK("http://www.openstreetmap.org/?mlat=34.7107&amp;mlon=43.6785&amp;zoom=12#map=12/34.7107/43.6785","Maplink1")</f>
        <v>Maplink1</v>
      </c>
      <c r="AW418" s="20" t="str">
        <f>HYPERLINK("https://www.google.iq/maps/search/+34.7107,43.6785/@34.7107,43.6785,14z?hl=en","Maplink2")</f>
        <v>Maplink2</v>
      </c>
      <c r="AX418" s="20" t="str">
        <f>HYPERLINK("http://www.bing.com/maps/?lvl=14&amp;sty=h&amp;cp=34.7107~43.6785&amp;sp=point.34.7107_43.6785_Al Haweja village-AlAbady","Maplink3")</f>
        <v>Maplink3</v>
      </c>
    </row>
    <row r="419" spans="1:50" x14ac:dyDescent="0.25">
      <c r="A419" s="9">
        <v>24212</v>
      </c>
      <c r="B419" s="10" t="s">
        <v>22</v>
      </c>
      <c r="C419" s="10" t="s">
        <v>793</v>
      </c>
      <c r="D419" s="10" t="s">
        <v>801</v>
      </c>
      <c r="E419" s="10" t="s">
        <v>802</v>
      </c>
      <c r="F419" s="10">
        <v>34.767600000000002</v>
      </c>
      <c r="G419" s="10">
        <v>43.638800000000003</v>
      </c>
      <c r="H419" s="10" t="s">
        <v>736</v>
      </c>
      <c r="I419" s="10" t="s">
        <v>796</v>
      </c>
      <c r="J419" s="10" t="s">
        <v>803</v>
      </c>
      <c r="K419" s="11">
        <v>75</v>
      </c>
      <c r="L419" s="11">
        <v>450</v>
      </c>
      <c r="M419" s="11"/>
      <c r="N419" s="11"/>
      <c r="O419" s="11">
        <v>5</v>
      </c>
      <c r="P419" s="11"/>
      <c r="Q419" s="11"/>
      <c r="R419" s="11"/>
      <c r="S419" s="11">
        <v>20</v>
      </c>
      <c r="T419" s="11"/>
      <c r="U419" s="11">
        <v>20</v>
      </c>
      <c r="V419" s="11"/>
      <c r="W419" s="11"/>
      <c r="X419" s="11"/>
      <c r="Y419" s="11"/>
      <c r="Z419" s="11"/>
      <c r="AA419" s="11">
        <v>20</v>
      </c>
      <c r="AB419" s="11">
        <v>10</v>
      </c>
      <c r="AC419" s="11"/>
      <c r="AD419" s="11"/>
      <c r="AE419" s="11"/>
      <c r="AF419" s="11">
        <v>75</v>
      </c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>
        <v>60</v>
      </c>
      <c r="AR419" s="11">
        <v>15</v>
      </c>
      <c r="AS419" s="11"/>
      <c r="AT419" s="11"/>
      <c r="AU419" s="11"/>
      <c r="AV419" s="20" t="str">
        <f>HYPERLINK("http://www.openstreetmap.org/?mlat=34.7676&amp;mlon=43.6388&amp;zoom=12#map=12/34.7676/43.6388","Maplink1")</f>
        <v>Maplink1</v>
      </c>
      <c r="AW419" s="20" t="str">
        <f>HYPERLINK("https://www.google.iq/maps/search/+34.7676,43.6388/@34.7676,43.6388,14z?hl=en","Maplink2")</f>
        <v>Maplink2</v>
      </c>
      <c r="AX419" s="20" t="str">
        <f>HYPERLINK("http://www.bing.com/maps/?lvl=14&amp;sty=h&amp;cp=34.7676~43.6388&amp;sp=point.34.7676_43.6388_Al khuzamiya Village","Maplink3")</f>
        <v>Maplink3</v>
      </c>
    </row>
    <row r="420" spans="1:50" x14ac:dyDescent="0.25">
      <c r="A420" s="9">
        <v>26034</v>
      </c>
      <c r="B420" s="10" t="s">
        <v>22</v>
      </c>
      <c r="C420" s="10" t="s">
        <v>793</v>
      </c>
      <c r="D420" s="10" t="s">
        <v>908</v>
      </c>
      <c r="E420" s="10" t="s">
        <v>1193</v>
      </c>
      <c r="F420" s="10">
        <v>34.727772000000002</v>
      </c>
      <c r="G420" s="10">
        <v>43.641196000000001</v>
      </c>
      <c r="H420" s="10" t="s">
        <v>736</v>
      </c>
      <c r="I420" s="10" t="s">
        <v>796</v>
      </c>
      <c r="J420" s="10"/>
      <c r="K420" s="11">
        <v>176</v>
      </c>
      <c r="L420" s="11">
        <v>1056</v>
      </c>
      <c r="M420" s="11"/>
      <c r="N420" s="11"/>
      <c r="O420" s="11"/>
      <c r="P420" s="11"/>
      <c r="Q420" s="11">
        <v>2</v>
      </c>
      <c r="R420" s="11"/>
      <c r="S420" s="11">
        <v>61</v>
      </c>
      <c r="T420" s="11"/>
      <c r="U420" s="11">
        <v>76</v>
      </c>
      <c r="V420" s="11"/>
      <c r="W420" s="11"/>
      <c r="X420" s="11"/>
      <c r="Y420" s="11"/>
      <c r="Z420" s="11"/>
      <c r="AA420" s="11"/>
      <c r="AB420" s="11">
        <v>35</v>
      </c>
      <c r="AC420" s="11"/>
      <c r="AD420" s="11">
        <v>2</v>
      </c>
      <c r="AE420" s="11"/>
      <c r="AF420" s="11">
        <v>170</v>
      </c>
      <c r="AG420" s="11">
        <v>6</v>
      </c>
      <c r="AH420" s="11"/>
      <c r="AI420" s="11"/>
      <c r="AJ420" s="11"/>
      <c r="AK420" s="11"/>
      <c r="AL420" s="11"/>
      <c r="AM420" s="11"/>
      <c r="AN420" s="11"/>
      <c r="AO420" s="11"/>
      <c r="AP420" s="11"/>
      <c r="AQ420" s="11">
        <v>176</v>
      </c>
      <c r="AR420" s="11"/>
      <c r="AS420" s="11"/>
      <c r="AT420" s="11"/>
      <c r="AU420" s="11"/>
      <c r="AV420" s="20" t="str">
        <f>HYPERLINK("http://www.openstreetmap.org/?mlat=34.7278&amp;mlon=43.6412&amp;zoom=12#map=12/34.7278/43.6412","Maplink1")</f>
        <v>Maplink1</v>
      </c>
      <c r="AW420" s="20" t="str">
        <f>HYPERLINK("https://www.google.iq/maps/search/+34.7278,43.6412/@34.7278,43.6412,14z?hl=en","Maplink2")</f>
        <v>Maplink2</v>
      </c>
      <c r="AX420" s="20" t="str">
        <f>HYPERLINK("http://www.bing.com/maps/?lvl=14&amp;sty=h&amp;cp=34.7278~43.6412&amp;sp=point.34.7278_43.6412_Al-Mahzam village","Maplink3")</f>
        <v>Maplink3</v>
      </c>
    </row>
    <row r="421" spans="1:50" x14ac:dyDescent="0.25">
      <c r="A421" s="9">
        <v>25894</v>
      </c>
      <c r="B421" s="10" t="s">
        <v>22</v>
      </c>
      <c r="C421" s="10" t="s">
        <v>793</v>
      </c>
      <c r="D421" s="10" t="s">
        <v>1049</v>
      </c>
      <c r="E421" s="10" t="s">
        <v>821</v>
      </c>
      <c r="F421" s="10">
        <v>34.639778999999997</v>
      </c>
      <c r="G421" s="10">
        <v>43.861341000000003</v>
      </c>
      <c r="H421" s="10" t="s">
        <v>736</v>
      </c>
      <c r="I421" s="10" t="s">
        <v>796</v>
      </c>
      <c r="J421" s="10"/>
      <c r="K421" s="11">
        <v>75</v>
      </c>
      <c r="L421" s="11">
        <v>450</v>
      </c>
      <c r="M421" s="11"/>
      <c r="N421" s="11"/>
      <c r="O421" s="11"/>
      <c r="P421" s="11"/>
      <c r="Q421" s="11"/>
      <c r="R421" s="11"/>
      <c r="S421" s="11"/>
      <c r="T421" s="11"/>
      <c r="U421" s="11">
        <v>75</v>
      </c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>
        <v>60</v>
      </c>
      <c r="AG421" s="11"/>
      <c r="AH421" s="11"/>
      <c r="AI421" s="11">
        <v>15</v>
      </c>
      <c r="AJ421" s="11"/>
      <c r="AK421" s="11"/>
      <c r="AL421" s="11"/>
      <c r="AM421" s="11"/>
      <c r="AN421" s="11"/>
      <c r="AO421" s="11"/>
      <c r="AP421" s="11"/>
      <c r="AQ421" s="11"/>
      <c r="AR421" s="11">
        <v>75</v>
      </c>
      <c r="AS421" s="11"/>
      <c r="AT421" s="11"/>
      <c r="AU421" s="11"/>
      <c r="AV421" s="20" t="str">
        <f>HYPERLINK("http://www.openstreetmap.org/?mlat=34.6398&amp;mlon=43.8613&amp;zoom=12#map=12/34.6398/43.8613","Maplink1")</f>
        <v>Maplink1</v>
      </c>
      <c r="AW421" s="20" t="str">
        <f>HYPERLINK("https://www.google.iq/maps/search/+34.6398,43.8613/@34.6398,43.8613,14z?hl=en","Maplink2")</f>
        <v>Maplink2</v>
      </c>
      <c r="AX421" s="20" t="str">
        <f>HYPERLINK("http://www.bing.com/maps/?lvl=14&amp;sty=h&amp;cp=34.6398~43.8613&amp;sp=point.34.6398_43.8613_Al-Namah Al-junubiya 49","Maplink3")</f>
        <v>Maplink3</v>
      </c>
    </row>
    <row r="422" spans="1:50" x14ac:dyDescent="0.25">
      <c r="A422" s="9">
        <v>24211</v>
      </c>
      <c r="B422" s="10" t="s">
        <v>22</v>
      </c>
      <c r="C422" s="10" t="s">
        <v>793</v>
      </c>
      <c r="D422" s="10" t="s">
        <v>804</v>
      </c>
      <c r="E422" s="10" t="s">
        <v>805</v>
      </c>
      <c r="F422" s="10">
        <v>34.686700000000002</v>
      </c>
      <c r="G422" s="10">
        <v>43.863700000000001</v>
      </c>
      <c r="H422" s="10" t="s">
        <v>736</v>
      </c>
      <c r="I422" s="10" t="s">
        <v>796</v>
      </c>
      <c r="J422" s="10" t="s">
        <v>806</v>
      </c>
      <c r="K422" s="11">
        <v>116</v>
      </c>
      <c r="L422" s="11">
        <v>696</v>
      </c>
      <c r="M422" s="11"/>
      <c r="N422" s="11"/>
      <c r="O422" s="11"/>
      <c r="P422" s="11"/>
      <c r="Q422" s="11"/>
      <c r="R422" s="11"/>
      <c r="S422" s="11"/>
      <c r="T422" s="11"/>
      <c r="U422" s="11">
        <v>116</v>
      </c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>
        <v>90</v>
      </c>
      <c r="AG422" s="11"/>
      <c r="AH422" s="11"/>
      <c r="AI422" s="11">
        <v>26</v>
      </c>
      <c r="AJ422" s="11"/>
      <c r="AK422" s="11"/>
      <c r="AL422" s="11"/>
      <c r="AM422" s="11"/>
      <c r="AN422" s="11"/>
      <c r="AO422" s="11"/>
      <c r="AP422" s="11"/>
      <c r="AQ422" s="11"/>
      <c r="AR422" s="11">
        <v>116</v>
      </c>
      <c r="AS422" s="11"/>
      <c r="AT422" s="11"/>
      <c r="AU422" s="11"/>
      <c r="AV422" s="20" t="str">
        <f>HYPERLINK("http://www.openstreetmap.org/?mlat=34.6867&amp;mlon=43.8637&amp;zoom=12#map=12/34.6867/43.8637","Maplink1")</f>
        <v>Maplink1</v>
      </c>
      <c r="AW422" s="20" t="str">
        <f>HYPERLINK("https://www.google.iq/maps/search/+34.6867,43.8637/@34.6867,43.8637,14z?hl=en","Maplink2")</f>
        <v>Maplink2</v>
      </c>
      <c r="AX422" s="20" t="str">
        <f>HYPERLINK("http://www.bing.com/maps/?lvl=14&amp;sty=h&amp;cp=34.6867~43.8637&amp;sp=point.34.6867_43.8637_Al Namah Al Shamaliyah","Maplink3")</f>
        <v>Maplink3</v>
      </c>
    </row>
    <row r="423" spans="1:50" x14ac:dyDescent="0.25">
      <c r="A423" s="9">
        <v>21357</v>
      </c>
      <c r="B423" s="10" t="s">
        <v>22</v>
      </c>
      <c r="C423" s="10" t="s">
        <v>793</v>
      </c>
      <c r="D423" s="10" t="s">
        <v>909</v>
      </c>
      <c r="E423" s="10" t="s">
        <v>1194</v>
      </c>
      <c r="F423" s="10">
        <v>34.46152</v>
      </c>
      <c r="G423" s="10">
        <v>43.75264</v>
      </c>
      <c r="H423" s="10" t="s">
        <v>736</v>
      </c>
      <c r="I423" s="10" t="s">
        <v>796</v>
      </c>
      <c r="J423" s="10" t="s">
        <v>827</v>
      </c>
      <c r="K423" s="11">
        <v>435</v>
      </c>
      <c r="L423" s="11">
        <v>2610</v>
      </c>
      <c r="M423" s="11"/>
      <c r="N423" s="11"/>
      <c r="O423" s="11">
        <v>3</v>
      </c>
      <c r="P423" s="11">
        <v>5</v>
      </c>
      <c r="Q423" s="11">
        <v>2</v>
      </c>
      <c r="R423" s="11"/>
      <c r="S423" s="11">
        <v>10</v>
      </c>
      <c r="T423" s="11"/>
      <c r="U423" s="11">
        <v>135</v>
      </c>
      <c r="V423" s="11"/>
      <c r="W423" s="11"/>
      <c r="X423" s="11"/>
      <c r="Y423" s="11"/>
      <c r="Z423" s="11"/>
      <c r="AA423" s="11">
        <v>280</v>
      </c>
      <c r="AB423" s="11"/>
      <c r="AC423" s="11"/>
      <c r="AD423" s="11"/>
      <c r="AE423" s="11"/>
      <c r="AF423" s="11">
        <v>410</v>
      </c>
      <c r="AG423" s="11">
        <v>25</v>
      </c>
      <c r="AH423" s="11"/>
      <c r="AI423" s="11"/>
      <c r="AJ423" s="11"/>
      <c r="AK423" s="11"/>
      <c r="AL423" s="11"/>
      <c r="AM423" s="11"/>
      <c r="AN423" s="11"/>
      <c r="AO423" s="11"/>
      <c r="AP423" s="11"/>
      <c r="AQ423" s="11">
        <v>435</v>
      </c>
      <c r="AR423" s="11"/>
      <c r="AS423" s="11"/>
      <c r="AT423" s="11"/>
      <c r="AU423" s="11"/>
      <c r="AV423" s="20" t="str">
        <f>HYPERLINK("http://www.openstreetmap.org/?mlat=34.4615&amp;mlon=43.7526&amp;zoom=12#map=12/34.4615/43.7526","Maplink1")</f>
        <v>Maplink1</v>
      </c>
      <c r="AW423" s="20" t="str">
        <f>HYPERLINK("https://www.google.iq/maps/search/+34.4615,43.7526/@34.4615,43.7526,14z?hl=en","Maplink2")</f>
        <v>Maplink2</v>
      </c>
      <c r="AX423" s="20" t="str">
        <f>HYPERLINK("http://www.bing.com/maps/?lvl=14&amp;sty=h&amp;cp=34.4615~43.7526&amp;sp=point.34.4615_43.7526_Al-Zallayah village","Maplink3")</f>
        <v>Maplink3</v>
      </c>
    </row>
    <row r="424" spans="1:50" x14ac:dyDescent="0.25">
      <c r="A424" s="9">
        <v>25707</v>
      </c>
      <c r="B424" s="10" t="s">
        <v>22</v>
      </c>
      <c r="C424" s="10" t="s">
        <v>793</v>
      </c>
      <c r="D424" s="10" t="s">
        <v>808</v>
      </c>
      <c r="E424" s="10" t="s">
        <v>809</v>
      </c>
      <c r="F424" s="10">
        <v>35.557912000000002</v>
      </c>
      <c r="G424" s="10">
        <v>43.271647999999999</v>
      </c>
      <c r="H424" s="10" t="s">
        <v>736</v>
      </c>
      <c r="I424" s="10" t="s">
        <v>796</v>
      </c>
      <c r="J424" s="10"/>
      <c r="K424" s="11">
        <v>265</v>
      </c>
      <c r="L424" s="11">
        <v>1590</v>
      </c>
      <c r="M424" s="11"/>
      <c r="N424" s="11"/>
      <c r="O424" s="11">
        <v>150</v>
      </c>
      <c r="P424" s="11"/>
      <c r="Q424" s="11"/>
      <c r="R424" s="11"/>
      <c r="S424" s="11"/>
      <c r="T424" s="11"/>
      <c r="U424" s="11"/>
      <c r="V424" s="11"/>
      <c r="W424" s="11"/>
      <c r="X424" s="11">
        <v>20</v>
      </c>
      <c r="Y424" s="11"/>
      <c r="Z424" s="11"/>
      <c r="AA424" s="11">
        <v>95</v>
      </c>
      <c r="AB424" s="11"/>
      <c r="AC424" s="11"/>
      <c r="AD424" s="11"/>
      <c r="AE424" s="11"/>
      <c r="AF424" s="11">
        <v>215</v>
      </c>
      <c r="AG424" s="11"/>
      <c r="AH424" s="11"/>
      <c r="AI424" s="11"/>
      <c r="AJ424" s="11"/>
      <c r="AK424" s="11"/>
      <c r="AL424" s="11">
        <v>50</v>
      </c>
      <c r="AM424" s="11"/>
      <c r="AN424" s="11"/>
      <c r="AO424" s="11"/>
      <c r="AP424" s="11"/>
      <c r="AQ424" s="11">
        <v>100</v>
      </c>
      <c r="AR424" s="11">
        <v>100</v>
      </c>
      <c r="AS424" s="11">
        <v>65</v>
      </c>
      <c r="AT424" s="11"/>
      <c r="AU424" s="11"/>
      <c r="AV424" s="20" t="str">
        <f>HYPERLINK("http://www.openstreetmap.org/?mlat=35.5579&amp;mlon=43.2716&amp;zoom=12#map=12/35.5579/43.2716","Maplink1")</f>
        <v>Maplink1</v>
      </c>
      <c r="AW424" s="20" t="str">
        <f>HYPERLINK("https://www.google.iq/maps/search/+35.5579,43.2716/@35.5579,43.2716,14z?hl=en","Maplink2")</f>
        <v>Maplink2</v>
      </c>
      <c r="AX424" s="20" t="str">
        <f>HYPERLINK("http://www.bing.com/maps/?lvl=14&amp;sty=h&amp;cp=35.5579~43.2716&amp;sp=point.35.5579_43.2716_Al-Alam-mahallat awayjelya 27","Maplink3")</f>
        <v>Maplink3</v>
      </c>
    </row>
    <row r="425" spans="1:50" x14ac:dyDescent="0.25">
      <c r="A425" s="9">
        <v>20642</v>
      </c>
      <c r="B425" s="10" t="s">
        <v>22</v>
      </c>
      <c r="C425" s="10" t="s">
        <v>793</v>
      </c>
      <c r="D425" s="10" t="s">
        <v>1050</v>
      </c>
      <c r="E425" s="10" t="s">
        <v>811</v>
      </c>
      <c r="F425" s="10">
        <v>34.693536000000002</v>
      </c>
      <c r="G425" s="10">
        <v>43.622293999999997</v>
      </c>
      <c r="H425" s="10" t="s">
        <v>736</v>
      </c>
      <c r="I425" s="10" t="s">
        <v>796</v>
      </c>
      <c r="J425" s="10" t="s">
        <v>812</v>
      </c>
      <c r="K425" s="11">
        <v>112</v>
      </c>
      <c r="L425" s="11">
        <v>672</v>
      </c>
      <c r="M425" s="11"/>
      <c r="N425" s="11"/>
      <c r="O425" s="11"/>
      <c r="P425" s="11"/>
      <c r="Q425" s="11"/>
      <c r="R425" s="11"/>
      <c r="S425" s="11">
        <v>4</v>
      </c>
      <c r="T425" s="11"/>
      <c r="U425" s="11">
        <v>100</v>
      </c>
      <c r="V425" s="11"/>
      <c r="W425" s="11"/>
      <c r="X425" s="11"/>
      <c r="Y425" s="11"/>
      <c r="Z425" s="11"/>
      <c r="AA425" s="11"/>
      <c r="AB425" s="11">
        <v>8</v>
      </c>
      <c r="AC425" s="11"/>
      <c r="AD425" s="11"/>
      <c r="AE425" s="11"/>
      <c r="AF425" s="11">
        <v>112</v>
      </c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>
        <v>112</v>
      </c>
      <c r="AR425" s="11"/>
      <c r="AS425" s="11"/>
      <c r="AT425" s="11"/>
      <c r="AU425" s="11"/>
      <c r="AV425" s="20" t="str">
        <f>HYPERLINK("http://www.openstreetmap.org/?mlat=34.6935&amp;mlon=43.6223&amp;zoom=12#map=12/34.6935/43.6223","Maplink1")</f>
        <v>Maplink1</v>
      </c>
      <c r="AW425" s="20" t="str">
        <f>HYPERLINK("https://www.google.iq/maps/search/+34.6935,43.6223/@34.6935,43.6223,14z?hl=en","Maplink2")</f>
        <v>Maplink2</v>
      </c>
      <c r="AX425" s="20" t="str">
        <f>HYPERLINK("http://www.bing.com/maps/?lvl=14&amp;sty=h&amp;cp=34.6935~43.6223&amp;sp=point.34.6935_43.6223_Al-Karama village","Maplink3")</f>
        <v>Maplink3</v>
      </c>
    </row>
    <row r="426" spans="1:50" x14ac:dyDescent="0.25">
      <c r="A426" s="9">
        <v>23525</v>
      </c>
      <c r="B426" s="10" t="s">
        <v>22</v>
      </c>
      <c r="C426" s="10" t="s">
        <v>793</v>
      </c>
      <c r="D426" s="10" t="s">
        <v>813</v>
      </c>
      <c r="E426" s="10" t="s">
        <v>814</v>
      </c>
      <c r="F426" s="10">
        <v>34.705677999999999</v>
      </c>
      <c r="G426" s="10">
        <v>43.655616000000002</v>
      </c>
      <c r="H426" s="10" t="s">
        <v>736</v>
      </c>
      <c r="I426" s="10" t="s">
        <v>796</v>
      </c>
      <c r="J426" s="10" t="s">
        <v>815</v>
      </c>
      <c r="K426" s="11">
        <v>18</v>
      </c>
      <c r="L426" s="11">
        <v>108</v>
      </c>
      <c r="M426" s="11"/>
      <c r="N426" s="11"/>
      <c r="O426" s="11"/>
      <c r="P426" s="11"/>
      <c r="Q426" s="11"/>
      <c r="R426" s="11"/>
      <c r="S426" s="11"/>
      <c r="T426" s="11"/>
      <c r="U426" s="11">
        <v>18</v>
      </c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>
        <v>18</v>
      </c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>
        <v>18</v>
      </c>
      <c r="AR426" s="11"/>
      <c r="AS426" s="11"/>
      <c r="AT426" s="11"/>
      <c r="AU426" s="11"/>
      <c r="AV426" s="20" t="str">
        <f>HYPERLINK("http://www.openstreetmap.org/?mlat=34.7057&amp;mlon=43.6556&amp;zoom=12#map=12/34.7057/43.6556","Maplink1")</f>
        <v>Maplink1</v>
      </c>
      <c r="AW426" s="20" t="str">
        <f>HYPERLINK("https://www.google.iq/maps/search/+34.7057,43.6556/@34.7057,43.6556,14z?hl=en","Maplink2")</f>
        <v>Maplink2</v>
      </c>
      <c r="AX426" s="20" t="str">
        <f>HYPERLINK("http://www.bing.com/maps/?lvl=14&amp;sty=h&amp;cp=34.7057~43.6556&amp;sp=point.34.7057_43.6556_Al Angaa","Maplink3")</f>
        <v>Maplink3</v>
      </c>
    </row>
    <row r="427" spans="1:50" x14ac:dyDescent="0.25">
      <c r="A427" s="9">
        <v>28419</v>
      </c>
      <c r="B427" s="10" t="s">
        <v>22</v>
      </c>
      <c r="C427" s="10" t="s">
        <v>793</v>
      </c>
      <c r="D427" s="10" t="s">
        <v>816</v>
      </c>
      <c r="E427" s="10" t="s">
        <v>817</v>
      </c>
      <c r="F427" s="10">
        <v>34.731425999999999</v>
      </c>
      <c r="G427" s="10">
        <v>43.604365000000001</v>
      </c>
      <c r="H427" s="10" t="s">
        <v>736</v>
      </c>
      <c r="I427" s="10" t="s">
        <v>796</v>
      </c>
      <c r="J427" s="10"/>
      <c r="K427" s="11">
        <v>130</v>
      </c>
      <c r="L427" s="11">
        <v>780</v>
      </c>
      <c r="M427" s="11"/>
      <c r="N427" s="11"/>
      <c r="O427" s="11"/>
      <c r="P427" s="11"/>
      <c r="Q427" s="11"/>
      <c r="R427" s="11"/>
      <c r="S427" s="11"/>
      <c r="T427" s="11"/>
      <c r="U427" s="11">
        <v>130</v>
      </c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>
        <v>80</v>
      </c>
      <c r="AG427" s="11"/>
      <c r="AH427" s="11"/>
      <c r="AI427" s="11">
        <v>50</v>
      </c>
      <c r="AJ427" s="11"/>
      <c r="AK427" s="11"/>
      <c r="AL427" s="11"/>
      <c r="AM427" s="11"/>
      <c r="AN427" s="11"/>
      <c r="AO427" s="11"/>
      <c r="AP427" s="11"/>
      <c r="AQ427" s="11">
        <v>130</v>
      </c>
      <c r="AR427" s="11"/>
      <c r="AS427" s="11"/>
      <c r="AT427" s="11"/>
      <c r="AU427" s="11"/>
      <c r="AV427" s="20" t="str">
        <f>HYPERLINK("http://www.openstreetmap.org/?mlat=34.7314&amp;mlon=43.6044&amp;zoom=12#map=12/34.7314/43.6044","Maplink1")</f>
        <v>Maplink1</v>
      </c>
      <c r="AW427" s="20" t="str">
        <f>HYPERLINK("https://www.google.iq/maps/search/+34.7314,43.6044/@34.7314,43.6044,14z?hl=en","Maplink2")</f>
        <v>Maplink2</v>
      </c>
      <c r="AX427" s="20" t="str">
        <f>HYPERLINK("http://www.bing.com/maps/?lvl=14&amp;sty=h&amp;cp=34.7314~43.6044&amp;sp=point.34.7314_43.6044_Al Angaa","Maplink3")</f>
        <v>Maplink3</v>
      </c>
    </row>
    <row r="428" spans="1:50" x14ac:dyDescent="0.25">
      <c r="A428" s="9">
        <v>23918</v>
      </c>
      <c r="B428" s="10" t="s">
        <v>22</v>
      </c>
      <c r="C428" s="10" t="s">
        <v>793</v>
      </c>
      <c r="D428" s="10" t="s">
        <v>818</v>
      </c>
      <c r="E428" s="10" t="s">
        <v>819</v>
      </c>
      <c r="F428" s="10">
        <v>34.631343000000001</v>
      </c>
      <c r="G428" s="10">
        <v>43.668509999999998</v>
      </c>
      <c r="H428" s="10" t="s">
        <v>736</v>
      </c>
      <c r="I428" s="10" t="s">
        <v>796</v>
      </c>
      <c r="J428" s="10" t="s">
        <v>820</v>
      </c>
      <c r="K428" s="11">
        <v>545</v>
      </c>
      <c r="L428" s="11">
        <v>3270</v>
      </c>
      <c r="M428" s="11"/>
      <c r="N428" s="11"/>
      <c r="O428" s="11">
        <v>28</v>
      </c>
      <c r="P428" s="11"/>
      <c r="Q428" s="11">
        <v>2</v>
      </c>
      <c r="R428" s="11"/>
      <c r="S428" s="11">
        <v>200</v>
      </c>
      <c r="T428" s="11"/>
      <c r="U428" s="11">
        <v>206</v>
      </c>
      <c r="V428" s="11"/>
      <c r="W428" s="11"/>
      <c r="X428" s="11"/>
      <c r="Y428" s="11"/>
      <c r="Z428" s="11"/>
      <c r="AA428" s="11">
        <v>1</v>
      </c>
      <c r="AB428" s="11">
        <v>108</v>
      </c>
      <c r="AC428" s="11"/>
      <c r="AD428" s="11"/>
      <c r="AE428" s="11"/>
      <c r="AF428" s="11">
        <v>475</v>
      </c>
      <c r="AG428" s="11"/>
      <c r="AH428" s="11"/>
      <c r="AI428" s="11"/>
      <c r="AJ428" s="11"/>
      <c r="AK428" s="11"/>
      <c r="AL428" s="11">
        <v>70</v>
      </c>
      <c r="AM428" s="11"/>
      <c r="AN428" s="11"/>
      <c r="AO428" s="11"/>
      <c r="AP428" s="11"/>
      <c r="AQ428" s="11">
        <v>1</v>
      </c>
      <c r="AR428" s="11">
        <v>300</v>
      </c>
      <c r="AS428" s="11">
        <v>200</v>
      </c>
      <c r="AT428" s="11">
        <v>40</v>
      </c>
      <c r="AU428" s="11">
        <v>4</v>
      </c>
      <c r="AV428" s="20" t="str">
        <f>HYPERLINK("http://www.openstreetmap.org/?mlat=34.6313&amp;mlon=43.6685&amp;zoom=12#map=12/34.6313/43.6685","Maplink1")</f>
        <v>Maplink1</v>
      </c>
      <c r="AW428" s="20" t="str">
        <f>HYPERLINK("https://www.google.iq/maps/search/+34.6313,43.6685/@34.6313,43.6685,14z?hl=en","Maplink2")</f>
        <v>Maplink2</v>
      </c>
      <c r="AX428" s="20" t="str">
        <f>HYPERLINK("http://www.bing.com/maps/?lvl=14&amp;sty=h&amp;cp=34.6313~43.6685&amp;sp=point.34.6313_43.6685_Al-Mutaradah 204","Maplink3")</f>
        <v>Maplink3</v>
      </c>
    </row>
    <row r="429" spans="1:50" x14ac:dyDescent="0.25">
      <c r="A429" s="9">
        <v>20631</v>
      </c>
      <c r="B429" s="10" t="s">
        <v>22</v>
      </c>
      <c r="C429" s="10" t="s">
        <v>793</v>
      </c>
      <c r="D429" s="10" t="s">
        <v>1051</v>
      </c>
      <c r="E429" s="10" t="s">
        <v>822</v>
      </c>
      <c r="F429" s="10">
        <v>34.695272000000003</v>
      </c>
      <c r="G429" s="10">
        <v>43.613664999999997</v>
      </c>
      <c r="H429" s="10" t="s">
        <v>736</v>
      </c>
      <c r="I429" s="10" t="s">
        <v>796</v>
      </c>
      <c r="J429" s="10" t="s">
        <v>823</v>
      </c>
      <c r="K429" s="11">
        <v>43</v>
      </c>
      <c r="L429" s="11">
        <v>258</v>
      </c>
      <c r="M429" s="11"/>
      <c r="N429" s="11"/>
      <c r="O429" s="11"/>
      <c r="P429" s="11"/>
      <c r="Q429" s="11"/>
      <c r="R429" s="11"/>
      <c r="S429" s="11">
        <v>8</v>
      </c>
      <c r="T429" s="11"/>
      <c r="U429" s="11">
        <v>35</v>
      </c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>
        <v>43</v>
      </c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>
        <v>43</v>
      </c>
      <c r="AR429" s="11"/>
      <c r="AS429" s="11"/>
      <c r="AT429" s="11"/>
      <c r="AU429" s="11"/>
      <c r="AV429" s="20" t="str">
        <f>HYPERLINK("http://www.openstreetmap.org/?mlat=34.6953&amp;mlon=43.6137&amp;zoom=12#map=12/34.6953/43.6137","Maplink1")</f>
        <v>Maplink1</v>
      </c>
      <c r="AW429" s="20" t="str">
        <f>HYPERLINK("https://www.google.iq/maps/search/+34.6953,43.6137/@34.6953,43.6137,14z?hl=en","Maplink2")</f>
        <v>Maplink2</v>
      </c>
      <c r="AX429" s="20" t="str">
        <f>HYPERLINK("http://www.bing.com/maps/?lvl=14&amp;sty=h&amp;cp=34.6953~43.6137&amp;sp=point.34.6953_43.6137_Al-Safia village","Maplink3")</f>
        <v>Maplink3</v>
      </c>
    </row>
    <row r="430" spans="1:50" x14ac:dyDescent="0.25">
      <c r="A430" s="9">
        <v>20630</v>
      </c>
      <c r="B430" s="10" t="s">
        <v>22</v>
      </c>
      <c r="C430" s="10" t="s">
        <v>793</v>
      </c>
      <c r="D430" s="10" t="s">
        <v>824</v>
      </c>
      <c r="E430" s="10" t="s">
        <v>825</v>
      </c>
      <c r="F430" s="10">
        <v>34.695048</v>
      </c>
      <c r="G430" s="10">
        <v>43.622611999999997</v>
      </c>
      <c r="H430" s="10" t="s">
        <v>736</v>
      </c>
      <c r="I430" s="10" t="s">
        <v>796</v>
      </c>
      <c r="J430" s="10" t="s">
        <v>826</v>
      </c>
      <c r="K430" s="11">
        <v>218</v>
      </c>
      <c r="L430" s="11">
        <v>1308</v>
      </c>
      <c r="M430" s="11"/>
      <c r="N430" s="11"/>
      <c r="O430" s="11"/>
      <c r="P430" s="11"/>
      <c r="Q430" s="11"/>
      <c r="R430" s="11"/>
      <c r="S430" s="11">
        <v>11</v>
      </c>
      <c r="T430" s="11"/>
      <c r="U430" s="11">
        <v>198</v>
      </c>
      <c r="V430" s="11"/>
      <c r="W430" s="11"/>
      <c r="X430" s="11"/>
      <c r="Y430" s="11"/>
      <c r="Z430" s="11"/>
      <c r="AA430" s="11">
        <v>9</v>
      </c>
      <c r="AB430" s="11"/>
      <c r="AC430" s="11"/>
      <c r="AD430" s="11"/>
      <c r="AE430" s="11"/>
      <c r="AF430" s="11">
        <v>218</v>
      </c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>
        <v>218</v>
      </c>
      <c r="AR430" s="11"/>
      <c r="AS430" s="11"/>
      <c r="AT430" s="11"/>
      <c r="AU430" s="11"/>
      <c r="AV430" s="20" t="str">
        <f>HYPERLINK("http://www.openstreetmap.org/?mlat=34.695&amp;mlon=43.6226&amp;zoom=12#map=12/34.695/43.6226","Maplink1")</f>
        <v>Maplink1</v>
      </c>
      <c r="AW430" s="20" t="str">
        <f>HYPERLINK("https://www.google.iq/maps/search/+34.695,43.6226/@34.695,43.6226,14z?hl=en","Maplink2")</f>
        <v>Maplink2</v>
      </c>
      <c r="AX430" s="20" t="str">
        <f>HYPERLINK("http://www.bing.com/maps/?lvl=14&amp;sty=h&amp;cp=34.695~43.6226&amp;sp=point.34.695_43.6226_Al-Shahama Village","Maplink3")</f>
        <v>Maplink3</v>
      </c>
    </row>
    <row r="431" spans="1:50" x14ac:dyDescent="0.25">
      <c r="A431" s="9">
        <v>25984</v>
      </c>
      <c r="B431" s="10" t="s">
        <v>22</v>
      </c>
      <c r="C431" s="10" t="s">
        <v>793</v>
      </c>
      <c r="D431" s="10" t="s">
        <v>1052</v>
      </c>
      <c r="E431" s="10" t="s">
        <v>810</v>
      </c>
      <c r="F431" s="10">
        <v>34.782696999999999</v>
      </c>
      <c r="G431" s="10">
        <v>43.624336</v>
      </c>
      <c r="H431" s="10" t="s">
        <v>736</v>
      </c>
      <c r="I431" s="10" t="s">
        <v>796</v>
      </c>
      <c r="J431" s="10"/>
      <c r="K431" s="11">
        <v>200</v>
      </c>
      <c r="L431" s="11">
        <v>1200</v>
      </c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>
        <v>200</v>
      </c>
      <c r="AB431" s="11"/>
      <c r="AC431" s="11"/>
      <c r="AD431" s="11"/>
      <c r="AE431" s="11"/>
      <c r="AF431" s="11">
        <v>200</v>
      </c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>
        <v>200</v>
      </c>
      <c r="AT431" s="11"/>
      <c r="AU431" s="11"/>
      <c r="AV431" s="20" t="str">
        <f>HYPERLINK("http://www.openstreetmap.org/?mlat=34.7827&amp;mlon=43.6243&amp;zoom=12#map=12/34.7827/43.6243","Maplink1")</f>
        <v>Maplink1</v>
      </c>
      <c r="AW431" s="20" t="str">
        <f>HYPERLINK("https://www.google.iq/maps/search/+34.7827,43.6243/@34.7827,43.6243,14z?hl=en","Maplink2")</f>
        <v>Maplink2</v>
      </c>
      <c r="AX431" s="20" t="str">
        <f>HYPERLINK("http://www.bing.com/maps/?lvl=14&amp;sty=h&amp;cp=34.7827~43.6243&amp;sp=point.34.7827_43.6243_Al-Dleimat village","Maplink3")</f>
        <v>Maplink3</v>
      </c>
    </row>
    <row r="432" spans="1:50" x14ac:dyDescent="0.25">
      <c r="A432" s="9">
        <v>24248</v>
      </c>
      <c r="B432" s="10" t="s">
        <v>22</v>
      </c>
      <c r="C432" s="10" t="s">
        <v>793</v>
      </c>
      <c r="D432" s="10" t="s">
        <v>828</v>
      </c>
      <c r="E432" s="10" t="s">
        <v>829</v>
      </c>
      <c r="F432" s="10">
        <v>34.679099999999998</v>
      </c>
      <c r="G432" s="10">
        <v>43.7164</v>
      </c>
      <c r="H432" s="10" t="s">
        <v>736</v>
      </c>
      <c r="I432" s="10" t="s">
        <v>796</v>
      </c>
      <c r="J432" s="10" t="s">
        <v>830</v>
      </c>
      <c r="K432" s="11">
        <v>855</v>
      </c>
      <c r="L432" s="11">
        <v>5130</v>
      </c>
      <c r="M432" s="11"/>
      <c r="N432" s="11"/>
      <c r="O432" s="11"/>
      <c r="P432" s="11"/>
      <c r="Q432" s="11"/>
      <c r="R432" s="11"/>
      <c r="S432" s="11"/>
      <c r="T432" s="11"/>
      <c r="U432" s="11">
        <v>280</v>
      </c>
      <c r="V432" s="11"/>
      <c r="W432" s="11"/>
      <c r="X432" s="11"/>
      <c r="Y432" s="11"/>
      <c r="Z432" s="11"/>
      <c r="AA432" s="11">
        <v>425</v>
      </c>
      <c r="AB432" s="11">
        <v>150</v>
      </c>
      <c r="AC432" s="11"/>
      <c r="AD432" s="11"/>
      <c r="AE432" s="11"/>
      <c r="AF432" s="11">
        <v>855</v>
      </c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>
        <v>530</v>
      </c>
      <c r="AS432" s="11">
        <v>325</v>
      </c>
      <c r="AT432" s="11"/>
      <c r="AU432" s="11"/>
      <c r="AV432" s="20" t="str">
        <f>HYPERLINK("http://www.openstreetmap.org/?mlat=34.6791&amp;mlon=43.7164&amp;zoom=12#map=12/34.6791/43.7164","Maplink1")</f>
        <v>Maplink1</v>
      </c>
      <c r="AW432" s="20" t="str">
        <f>HYPERLINK("https://www.google.iq/maps/search/+34.6791,43.7164/@34.6791,43.7164,14z?hl=en","Maplink2")</f>
        <v>Maplink2</v>
      </c>
      <c r="AX432" s="20" t="str">
        <f>HYPERLINK("http://www.bing.com/maps/?lvl=14&amp;sty=h&amp;cp=34.6791~43.7164&amp;sp=point.34.6791_43.7164_Awajealah Quarter","Maplink3")</f>
        <v>Maplink3</v>
      </c>
    </row>
    <row r="433" spans="1:50" x14ac:dyDescent="0.25">
      <c r="A433" s="9">
        <v>23527</v>
      </c>
      <c r="B433" s="10" t="s">
        <v>22</v>
      </c>
      <c r="C433" s="10" t="s">
        <v>793</v>
      </c>
      <c r="D433" s="10" t="s">
        <v>831</v>
      </c>
      <c r="E433" s="10" t="s">
        <v>832</v>
      </c>
      <c r="F433" s="10">
        <v>34.828764</v>
      </c>
      <c r="G433" s="10">
        <v>43.910207999999997</v>
      </c>
      <c r="H433" s="10" t="s">
        <v>736</v>
      </c>
      <c r="I433" s="10" t="s">
        <v>796</v>
      </c>
      <c r="J433" s="10" t="s">
        <v>833</v>
      </c>
      <c r="K433" s="11">
        <v>289</v>
      </c>
      <c r="L433" s="11">
        <v>1734</v>
      </c>
      <c r="M433" s="11"/>
      <c r="N433" s="11"/>
      <c r="O433" s="11"/>
      <c r="P433" s="11"/>
      <c r="Q433" s="11"/>
      <c r="R433" s="11"/>
      <c r="S433" s="11">
        <v>14</v>
      </c>
      <c r="T433" s="11"/>
      <c r="U433" s="11">
        <v>275</v>
      </c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>
        <v>275</v>
      </c>
      <c r="AG433" s="11">
        <v>7</v>
      </c>
      <c r="AH433" s="11"/>
      <c r="AI433" s="11"/>
      <c r="AJ433" s="11"/>
      <c r="AK433" s="11"/>
      <c r="AL433" s="11">
        <v>7</v>
      </c>
      <c r="AM433" s="11"/>
      <c r="AN433" s="11"/>
      <c r="AO433" s="11"/>
      <c r="AP433" s="11"/>
      <c r="AQ433" s="11"/>
      <c r="AR433" s="11">
        <v>14</v>
      </c>
      <c r="AS433" s="11">
        <v>275</v>
      </c>
      <c r="AT433" s="11"/>
      <c r="AU433" s="11"/>
      <c r="AV433" s="20" t="str">
        <f>HYPERLINK("http://www.openstreetmap.org/?mlat=34.8288&amp;mlon=43.9102&amp;zoom=12#map=12/34.8288/43.9102","Maplink1")</f>
        <v>Maplink1</v>
      </c>
      <c r="AW433" s="20" t="str">
        <f>HYPERLINK("https://www.google.iq/maps/search/+34.8288,43.9102/@34.8288,43.9102,14z?hl=en","Maplink2")</f>
        <v>Maplink2</v>
      </c>
      <c r="AX433" s="20" t="str">
        <f>HYPERLINK("http://www.bing.com/maps/?lvl=14&amp;sty=h&amp;cp=34.8288~43.9102&amp;sp=point.34.8288_43.9102_Ellmeabdi Al Shemaliya Village","Maplink3")</f>
        <v>Maplink3</v>
      </c>
    </row>
    <row r="434" spans="1:50" x14ac:dyDescent="0.25">
      <c r="A434" s="9">
        <v>20618</v>
      </c>
      <c r="B434" s="10" t="s">
        <v>22</v>
      </c>
      <c r="C434" s="10" t="s">
        <v>793</v>
      </c>
      <c r="D434" s="10" t="s">
        <v>1053</v>
      </c>
      <c r="E434" s="10" t="s">
        <v>834</v>
      </c>
      <c r="F434" s="10">
        <v>34.700054000000002</v>
      </c>
      <c r="G434" s="10">
        <v>43.617221000000001</v>
      </c>
      <c r="H434" s="10" t="s">
        <v>736</v>
      </c>
      <c r="I434" s="10" t="s">
        <v>796</v>
      </c>
      <c r="J434" s="10" t="s">
        <v>835</v>
      </c>
      <c r="K434" s="11">
        <v>252</v>
      </c>
      <c r="L434" s="11">
        <v>1512</v>
      </c>
      <c r="M434" s="11"/>
      <c r="N434" s="11"/>
      <c r="O434" s="11">
        <v>44</v>
      </c>
      <c r="P434" s="11"/>
      <c r="Q434" s="11"/>
      <c r="R434" s="11">
        <v>2</v>
      </c>
      <c r="S434" s="11">
        <v>13</v>
      </c>
      <c r="T434" s="11"/>
      <c r="U434" s="11">
        <v>179</v>
      </c>
      <c r="V434" s="11"/>
      <c r="W434" s="11"/>
      <c r="X434" s="11"/>
      <c r="Y434" s="11"/>
      <c r="Z434" s="11"/>
      <c r="AA434" s="11">
        <v>8</v>
      </c>
      <c r="AB434" s="11">
        <v>6</v>
      </c>
      <c r="AC434" s="11"/>
      <c r="AD434" s="11"/>
      <c r="AE434" s="11"/>
      <c r="AF434" s="11">
        <v>252</v>
      </c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>
        <v>251</v>
      </c>
      <c r="AR434" s="11"/>
      <c r="AS434" s="11"/>
      <c r="AT434" s="11"/>
      <c r="AU434" s="11">
        <v>1</v>
      </c>
      <c r="AV434" s="20" t="str">
        <f>HYPERLINK("http://www.openstreetmap.org/?mlat=34.7001&amp;mlon=43.6172&amp;zoom=12#map=12/34.7001/43.6172","Maplink1")</f>
        <v>Maplink1</v>
      </c>
      <c r="AW434" s="20" t="str">
        <f>HYPERLINK("https://www.google.iq/maps/search/+34.7001,43.6172/@34.7001,43.6172,14z?hl=en","Maplink2")</f>
        <v>Maplink2</v>
      </c>
      <c r="AX434" s="20" t="str">
        <f>HYPERLINK("http://www.bing.com/maps/?lvl=14&amp;sty=h&amp;cp=34.7001~43.6172&amp;sp=point.34.7001_43.6172_Hammad Shehab village","Maplink3")</f>
        <v>Maplink3</v>
      </c>
    </row>
    <row r="435" spans="1:50" x14ac:dyDescent="0.25">
      <c r="A435" s="9">
        <v>23301</v>
      </c>
      <c r="B435" s="10" t="s">
        <v>22</v>
      </c>
      <c r="C435" s="10" t="s">
        <v>793</v>
      </c>
      <c r="D435" s="10" t="s">
        <v>1054</v>
      </c>
      <c r="E435" s="10" t="s">
        <v>1195</v>
      </c>
      <c r="F435" s="10">
        <v>34.576160999999999</v>
      </c>
      <c r="G435" s="10">
        <v>43.681758000000002</v>
      </c>
      <c r="H435" s="10" t="s">
        <v>736</v>
      </c>
      <c r="I435" s="10" t="s">
        <v>796</v>
      </c>
      <c r="J435" s="10" t="s">
        <v>846</v>
      </c>
      <c r="K435" s="11">
        <v>473</v>
      </c>
      <c r="L435" s="11">
        <v>2838</v>
      </c>
      <c r="M435" s="11"/>
      <c r="N435" s="11"/>
      <c r="O435" s="11">
        <v>37</v>
      </c>
      <c r="P435" s="11"/>
      <c r="Q435" s="11">
        <v>25</v>
      </c>
      <c r="R435" s="11"/>
      <c r="S435" s="11">
        <v>140</v>
      </c>
      <c r="T435" s="11"/>
      <c r="U435" s="11">
        <v>176</v>
      </c>
      <c r="V435" s="11"/>
      <c r="W435" s="11"/>
      <c r="X435" s="11"/>
      <c r="Y435" s="11"/>
      <c r="Z435" s="11"/>
      <c r="AA435" s="11">
        <v>63</v>
      </c>
      <c r="AB435" s="11">
        <v>32</v>
      </c>
      <c r="AC435" s="11"/>
      <c r="AD435" s="11"/>
      <c r="AE435" s="11"/>
      <c r="AF435" s="11">
        <v>440</v>
      </c>
      <c r="AG435" s="11"/>
      <c r="AH435" s="11"/>
      <c r="AI435" s="11"/>
      <c r="AJ435" s="11"/>
      <c r="AK435" s="11"/>
      <c r="AL435" s="11">
        <v>33</v>
      </c>
      <c r="AM435" s="11"/>
      <c r="AN435" s="11"/>
      <c r="AO435" s="11"/>
      <c r="AP435" s="11"/>
      <c r="AQ435" s="11">
        <v>250</v>
      </c>
      <c r="AR435" s="11">
        <v>200</v>
      </c>
      <c r="AS435" s="11">
        <v>23</v>
      </c>
      <c r="AT435" s="11"/>
      <c r="AU435" s="11"/>
      <c r="AV435" s="20" t="str">
        <f>HYPERLINK("http://www.openstreetmap.org/?mlat=34.5762&amp;mlon=43.6818&amp;zoom=12#map=12/34.5762/43.6818","Maplink1")</f>
        <v>Maplink1</v>
      </c>
      <c r="AW435" s="20" t="str">
        <f>HYPERLINK("https://www.google.iq/maps/search/+34.5762,43.6818/@34.5762,43.6818,14z?hl=en","Maplink2")</f>
        <v>Maplink2</v>
      </c>
      <c r="AX435" s="20" t="str">
        <f>HYPERLINK("http://www.bing.com/maps/?lvl=14&amp;sty=h&amp;cp=34.5762~43.6818&amp;sp=point.34.5762_43.6818_Hay Al-anwaa -mahalla 420","Maplink3")</f>
        <v>Maplink3</v>
      </c>
    </row>
    <row r="436" spans="1:50" x14ac:dyDescent="0.25">
      <c r="A436" s="9">
        <v>25961</v>
      </c>
      <c r="B436" s="10" t="s">
        <v>22</v>
      </c>
      <c r="C436" s="10" t="s">
        <v>793</v>
      </c>
      <c r="D436" s="10" t="s">
        <v>1055</v>
      </c>
      <c r="E436" s="10" t="s">
        <v>1196</v>
      </c>
      <c r="F436" s="10">
        <v>34.594295000000002</v>
      </c>
      <c r="G436" s="10">
        <v>43.674107999999997</v>
      </c>
      <c r="H436" s="10" t="s">
        <v>736</v>
      </c>
      <c r="I436" s="10" t="s">
        <v>796</v>
      </c>
      <c r="J436" s="10"/>
      <c r="K436" s="11">
        <v>413</v>
      </c>
      <c r="L436" s="11">
        <v>2478</v>
      </c>
      <c r="M436" s="11"/>
      <c r="N436" s="11"/>
      <c r="O436" s="11"/>
      <c r="P436" s="11"/>
      <c r="Q436" s="11"/>
      <c r="R436" s="11"/>
      <c r="S436" s="11">
        <v>112</v>
      </c>
      <c r="T436" s="11"/>
      <c r="U436" s="11">
        <v>174</v>
      </c>
      <c r="V436" s="11"/>
      <c r="W436" s="11"/>
      <c r="X436" s="11"/>
      <c r="Y436" s="11"/>
      <c r="Z436" s="11"/>
      <c r="AA436" s="11">
        <v>127</v>
      </c>
      <c r="AB436" s="11"/>
      <c r="AC436" s="11"/>
      <c r="AD436" s="11"/>
      <c r="AE436" s="11"/>
      <c r="AF436" s="11">
        <v>368</v>
      </c>
      <c r="AG436" s="11"/>
      <c r="AH436" s="11"/>
      <c r="AI436" s="11"/>
      <c r="AJ436" s="11"/>
      <c r="AK436" s="11"/>
      <c r="AL436" s="11">
        <v>45</v>
      </c>
      <c r="AM436" s="11"/>
      <c r="AN436" s="11"/>
      <c r="AO436" s="11"/>
      <c r="AP436" s="11"/>
      <c r="AQ436" s="11">
        <v>283</v>
      </c>
      <c r="AR436" s="11">
        <v>70</v>
      </c>
      <c r="AS436" s="11">
        <v>60</v>
      </c>
      <c r="AT436" s="11"/>
      <c r="AU436" s="11"/>
      <c r="AV436" s="20" t="str">
        <f>HYPERLINK("http://www.openstreetmap.org/?mlat=34.5943&amp;mlon=43.6741&amp;zoom=12#map=12/34.5943/43.6741","Maplink1")</f>
        <v>Maplink1</v>
      </c>
      <c r="AW436" s="20" t="str">
        <f>HYPERLINK("https://www.google.iq/maps/search/+34.5943,43.6741/@34.5943,43.6741,14z?hl=en","Maplink2")</f>
        <v>Maplink2</v>
      </c>
      <c r="AX436" s="20" t="str">
        <f>HYPERLINK("http://www.bing.com/maps/?lvl=14&amp;sty=h&amp;cp=34.5943~43.6741&amp;sp=point.34.5943_43.6741_Hay Al-arbaeen-mahalla 414","Maplink3")</f>
        <v>Maplink3</v>
      </c>
    </row>
    <row r="437" spans="1:50" x14ac:dyDescent="0.25">
      <c r="A437" s="9">
        <v>23206</v>
      </c>
      <c r="B437" s="10" t="s">
        <v>22</v>
      </c>
      <c r="C437" s="10" t="s">
        <v>793</v>
      </c>
      <c r="D437" s="10" t="s">
        <v>837</v>
      </c>
      <c r="E437" s="10" t="s">
        <v>1197</v>
      </c>
      <c r="F437" s="10">
        <v>34.605794000000003</v>
      </c>
      <c r="G437" s="10">
        <v>43.678755000000002</v>
      </c>
      <c r="H437" s="10" t="s">
        <v>736</v>
      </c>
      <c r="I437" s="10" t="s">
        <v>796</v>
      </c>
      <c r="J437" s="10" t="s">
        <v>838</v>
      </c>
      <c r="K437" s="11">
        <v>419</v>
      </c>
      <c r="L437" s="11">
        <v>2514</v>
      </c>
      <c r="M437" s="11"/>
      <c r="N437" s="11"/>
      <c r="O437" s="11">
        <v>3</v>
      </c>
      <c r="P437" s="11"/>
      <c r="Q437" s="11"/>
      <c r="R437" s="11"/>
      <c r="S437" s="11">
        <v>200</v>
      </c>
      <c r="T437" s="11"/>
      <c r="U437" s="11">
        <v>112</v>
      </c>
      <c r="V437" s="11"/>
      <c r="W437" s="11"/>
      <c r="X437" s="11"/>
      <c r="Y437" s="11"/>
      <c r="Z437" s="11"/>
      <c r="AA437" s="11">
        <v>54</v>
      </c>
      <c r="AB437" s="11">
        <v>50</v>
      </c>
      <c r="AC437" s="11"/>
      <c r="AD437" s="11"/>
      <c r="AE437" s="11"/>
      <c r="AF437" s="11">
        <v>419</v>
      </c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>
        <v>384</v>
      </c>
      <c r="AR437" s="11">
        <v>25</v>
      </c>
      <c r="AS437" s="11">
        <v>10</v>
      </c>
      <c r="AT437" s="11"/>
      <c r="AU437" s="11"/>
      <c r="AV437" s="20" t="str">
        <f>HYPERLINK("http://www.openstreetmap.org/?mlat=34.6058&amp;mlon=43.6788&amp;zoom=12#map=12/34.6058/43.6788","Maplink1")</f>
        <v>Maplink1</v>
      </c>
      <c r="AW437" s="20" t="str">
        <f>HYPERLINK("https://www.google.iq/maps/search/+34.6058,43.6788/@34.6058,43.6788,14z?hl=en","Maplink2")</f>
        <v>Maplink2</v>
      </c>
      <c r="AX437" s="20" t="str">
        <f>HYPERLINK("http://www.bing.com/maps/?lvl=14&amp;sty=h&amp;cp=34.6058~43.6788&amp;sp=point.34.6058_43.6788_Hay Al Asry Al Jadid-404","Maplink3")</f>
        <v>Maplink3</v>
      </c>
    </row>
    <row r="438" spans="1:50" x14ac:dyDescent="0.25">
      <c r="A438" s="9">
        <v>24247</v>
      </c>
      <c r="B438" s="10" t="s">
        <v>22</v>
      </c>
      <c r="C438" s="10" t="s">
        <v>793</v>
      </c>
      <c r="D438" s="10" t="s">
        <v>839</v>
      </c>
      <c r="E438" s="10" t="s">
        <v>840</v>
      </c>
      <c r="F438" s="10">
        <v>34.688099999999999</v>
      </c>
      <c r="G438" s="10">
        <v>43.712899999999998</v>
      </c>
      <c r="H438" s="10" t="s">
        <v>736</v>
      </c>
      <c r="I438" s="10" t="s">
        <v>796</v>
      </c>
      <c r="J438" s="10" t="s">
        <v>841</v>
      </c>
      <c r="K438" s="11">
        <v>45</v>
      </c>
      <c r="L438" s="11">
        <v>270</v>
      </c>
      <c r="M438" s="11"/>
      <c r="N438" s="11"/>
      <c r="O438" s="11"/>
      <c r="P438" s="11"/>
      <c r="Q438" s="11"/>
      <c r="R438" s="11"/>
      <c r="S438" s="11"/>
      <c r="T438" s="11"/>
      <c r="U438" s="11">
        <v>45</v>
      </c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>
        <v>45</v>
      </c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>
        <v>45</v>
      </c>
      <c r="AS438" s="11"/>
      <c r="AT438" s="11"/>
      <c r="AU438" s="11"/>
      <c r="AV438" s="20" t="str">
        <f>HYPERLINK("http://www.openstreetmap.org/?mlat=34.6881&amp;mlon=43.7129&amp;zoom=12#map=12/34.6881/43.7129","Maplink1")</f>
        <v>Maplink1</v>
      </c>
      <c r="AW438" s="20" t="str">
        <f>HYPERLINK("https://www.google.iq/maps/search/+34.6881,43.7129/@34.6881,43.7129,14z?hl=en","Maplink2")</f>
        <v>Maplink2</v>
      </c>
      <c r="AX438" s="20" t="str">
        <f>HYPERLINK("http://www.bing.com/maps/?lvl=14&amp;sty=h&amp;cp=34.6881~43.7129&amp;sp=point.34.6881_43.7129_Hay Al baladiyah","Maplink3")</f>
        <v>Maplink3</v>
      </c>
    </row>
    <row r="439" spans="1:50" x14ac:dyDescent="0.25">
      <c r="A439" s="9">
        <v>22331</v>
      </c>
      <c r="B439" s="10" t="s">
        <v>22</v>
      </c>
      <c r="C439" s="10" t="s">
        <v>793</v>
      </c>
      <c r="D439" s="10" t="s">
        <v>1056</v>
      </c>
      <c r="E439" s="10" t="s">
        <v>1198</v>
      </c>
      <c r="F439" s="10">
        <v>34.605716000000001</v>
      </c>
      <c r="G439" s="10">
        <v>43.676295000000003</v>
      </c>
      <c r="H439" s="10" t="s">
        <v>736</v>
      </c>
      <c r="I439" s="10" t="s">
        <v>796</v>
      </c>
      <c r="J439" s="10" t="s">
        <v>847</v>
      </c>
      <c r="K439" s="11">
        <v>505</v>
      </c>
      <c r="L439" s="11">
        <v>3030</v>
      </c>
      <c r="M439" s="11"/>
      <c r="N439" s="11"/>
      <c r="O439" s="11">
        <v>5</v>
      </c>
      <c r="P439" s="11"/>
      <c r="Q439" s="11"/>
      <c r="R439" s="11"/>
      <c r="S439" s="11">
        <v>150</v>
      </c>
      <c r="T439" s="11"/>
      <c r="U439" s="11">
        <v>250</v>
      </c>
      <c r="V439" s="11"/>
      <c r="W439" s="11"/>
      <c r="X439" s="11"/>
      <c r="Y439" s="11"/>
      <c r="Z439" s="11"/>
      <c r="AA439" s="11">
        <v>30</v>
      </c>
      <c r="AB439" s="11">
        <v>70</v>
      </c>
      <c r="AC439" s="11"/>
      <c r="AD439" s="11"/>
      <c r="AE439" s="11"/>
      <c r="AF439" s="11">
        <v>505</v>
      </c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>
        <v>300</v>
      </c>
      <c r="AR439" s="11">
        <v>150</v>
      </c>
      <c r="AS439" s="11">
        <v>55</v>
      </c>
      <c r="AT439" s="11"/>
      <c r="AU439" s="11"/>
      <c r="AV439" s="20" t="str">
        <f>HYPERLINK("http://www.openstreetmap.org/?mlat=34.6057&amp;mlon=43.6763&amp;zoom=12#map=12/34.6057/43.6763","Maplink1")</f>
        <v>Maplink1</v>
      </c>
      <c r="AW439" s="20" t="str">
        <f>HYPERLINK("https://www.google.iq/maps/search/+34.6057,43.6763/@34.6057,43.6763,14z?hl=en","Maplink2")</f>
        <v>Maplink2</v>
      </c>
      <c r="AX439" s="20" t="str">
        <f>HYPERLINK("http://www.bing.com/maps/?lvl=14&amp;sty=h&amp;cp=34.6057~43.6763&amp;sp=point.34.6057_43.6763_Hay Al-baladiyat-Locality 402","Maplink3")</f>
        <v>Maplink3</v>
      </c>
    </row>
    <row r="440" spans="1:50" x14ac:dyDescent="0.25">
      <c r="A440" s="9">
        <v>22332</v>
      </c>
      <c r="B440" s="10" t="s">
        <v>22</v>
      </c>
      <c r="C440" s="10" t="s">
        <v>793</v>
      </c>
      <c r="D440" s="10" t="s">
        <v>1057</v>
      </c>
      <c r="E440" s="10" t="s">
        <v>1199</v>
      </c>
      <c r="F440" s="10">
        <v>34.589025999999997</v>
      </c>
      <c r="G440" s="10">
        <v>43.675297</v>
      </c>
      <c r="H440" s="10" t="s">
        <v>736</v>
      </c>
      <c r="I440" s="10" t="s">
        <v>796</v>
      </c>
      <c r="J440" s="10" t="s">
        <v>848</v>
      </c>
      <c r="K440" s="11">
        <v>992</v>
      </c>
      <c r="L440" s="11">
        <v>5952</v>
      </c>
      <c r="M440" s="11"/>
      <c r="N440" s="11"/>
      <c r="O440" s="11">
        <v>16</v>
      </c>
      <c r="P440" s="11"/>
      <c r="Q440" s="11"/>
      <c r="R440" s="11"/>
      <c r="S440" s="11">
        <v>231</v>
      </c>
      <c r="T440" s="11"/>
      <c r="U440" s="11">
        <v>646</v>
      </c>
      <c r="V440" s="11"/>
      <c r="W440" s="11"/>
      <c r="X440" s="11"/>
      <c r="Y440" s="11"/>
      <c r="Z440" s="11"/>
      <c r="AA440" s="11">
        <v>64</v>
      </c>
      <c r="AB440" s="11">
        <v>35</v>
      </c>
      <c r="AC440" s="11"/>
      <c r="AD440" s="11"/>
      <c r="AE440" s="11"/>
      <c r="AF440" s="11">
        <v>920</v>
      </c>
      <c r="AG440" s="11"/>
      <c r="AH440" s="11"/>
      <c r="AI440" s="11"/>
      <c r="AJ440" s="11"/>
      <c r="AK440" s="11"/>
      <c r="AL440" s="11">
        <v>72</v>
      </c>
      <c r="AM440" s="11"/>
      <c r="AN440" s="11"/>
      <c r="AO440" s="11"/>
      <c r="AP440" s="11">
        <v>13</v>
      </c>
      <c r="AQ440" s="11">
        <v>826</v>
      </c>
      <c r="AR440" s="11">
        <v>153</v>
      </c>
      <c r="AS440" s="11"/>
      <c r="AT440" s="11"/>
      <c r="AU440" s="11"/>
      <c r="AV440" s="20" t="str">
        <f>HYPERLINK("http://www.openstreetmap.org/?mlat=34.589&amp;mlon=43.6753&amp;zoom=12#map=12/34.589/43.6753","Maplink1")</f>
        <v>Maplink1</v>
      </c>
      <c r="AW440" s="20" t="str">
        <f>HYPERLINK("https://www.google.iq/maps/search/+34.589,43.6753/@34.589,43.6753,14z?hl=en","Maplink2")</f>
        <v>Maplink2</v>
      </c>
      <c r="AX440" s="20" t="str">
        <f>HYPERLINK("http://www.bing.com/maps/?lvl=14&amp;sty=h&amp;cp=34.589~43.6753&amp;sp=point.34.589_43.6753_Hay Al-jamiya-Locality 416","Maplink3")</f>
        <v>Maplink3</v>
      </c>
    </row>
    <row r="441" spans="1:50" x14ac:dyDescent="0.25">
      <c r="A441" s="9">
        <v>20608</v>
      </c>
      <c r="B441" s="10" t="s">
        <v>22</v>
      </c>
      <c r="C441" s="10" t="s">
        <v>793</v>
      </c>
      <c r="D441" s="10" t="s">
        <v>842</v>
      </c>
      <c r="E441" s="10" t="s">
        <v>1200</v>
      </c>
      <c r="F441" s="10">
        <v>34.607500000000002</v>
      </c>
      <c r="G441" s="10">
        <v>43.689100000000003</v>
      </c>
      <c r="H441" s="10" t="s">
        <v>736</v>
      </c>
      <c r="I441" s="10" t="s">
        <v>796</v>
      </c>
      <c r="J441" s="10" t="s">
        <v>843</v>
      </c>
      <c r="K441" s="11">
        <v>775</v>
      </c>
      <c r="L441" s="11">
        <v>4650</v>
      </c>
      <c r="M441" s="11"/>
      <c r="N441" s="11"/>
      <c r="O441" s="11"/>
      <c r="P441" s="11"/>
      <c r="Q441" s="11"/>
      <c r="R441" s="11"/>
      <c r="S441" s="11"/>
      <c r="T441" s="11"/>
      <c r="U441" s="11">
        <v>775</v>
      </c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>
        <v>770</v>
      </c>
      <c r="AG441" s="11"/>
      <c r="AH441" s="11"/>
      <c r="AI441" s="11"/>
      <c r="AJ441" s="11"/>
      <c r="AK441" s="11"/>
      <c r="AL441" s="11">
        <v>5</v>
      </c>
      <c r="AM441" s="11"/>
      <c r="AN441" s="11"/>
      <c r="AO441" s="11"/>
      <c r="AP441" s="11">
        <v>5</v>
      </c>
      <c r="AQ441" s="11"/>
      <c r="AR441" s="11">
        <v>420</v>
      </c>
      <c r="AS441" s="11">
        <v>350</v>
      </c>
      <c r="AT441" s="11"/>
      <c r="AU441" s="11"/>
      <c r="AV441" s="20" t="str">
        <f>HYPERLINK("http://www.openstreetmap.org/?mlat=34.6075&amp;mlon=43.6891&amp;zoom=12#map=12/34.6075/43.6891","Maplink1")</f>
        <v>Maplink1</v>
      </c>
      <c r="AW441" s="20" t="str">
        <f>HYPERLINK("https://www.google.iq/maps/search/+34.6075,43.6891/@34.6075,43.6891,14z?hl=en","Maplink2")</f>
        <v>Maplink2</v>
      </c>
      <c r="AX441" s="20" t="str">
        <f>HYPERLINK("http://www.bing.com/maps/?lvl=14&amp;sty=h&amp;cp=34.6075~43.6891&amp;sp=point.34.6075_43.6891_Hay Al Jamiyah","Maplink3")</f>
        <v>Maplink3</v>
      </c>
    </row>
    <row r="442" spans="1:50" x14ac:dyDescent="0.25">
      <c r="A442" s="9">
        <v>25960</v>
      </c>
      <c r="B442" s="10" t="s">
        <v>22</v>
      </c>
      <c r="C442" s="10" t="s">
        <v>793</v>
      </c>
      <c r="D442" s="10" t="s">
        <v>1058</v>
      </c>
      <c r="E442" s="10" t="s">
        <v>1201</v>
      </c>
      <c r="F442" s="10">
        <v>34.589025999999997</v>
      </c>
      <c r="G442" s="10">
        <v>43.675297</v>
      </c>
      <c r="H442" s="10" t="s">
        <v>736</v>
      </c>
      <c r="I442" s="10" t="s">
        <v>796</v>
      </c>
      <c r="J442" s="10"/>
      <c r="K442" s="11">
        <v>1147</v>
      </c>
      <c r="L442" s="11">
        <v>6882</v>
      </c>
      <c r="M442" s="11"/>
      <c r="N442" s="11"/>
      <c r="O442" s="11">
        <v>36</v>
      </c>
      <c r="P442" s="11"/>
      <c r="Q442" s="11">
        <v>7</v>
      </c>
      <c r="R442" s="11"/>
      <c r="S442" s="11">
        <v>289</v>
      </c>
      <c r="T442" s="11"/>
      <c r="U442" s="11">
        <v>355</v>
      </c>
      <c r="V442" s="11"/>
      <c r="W442" s="11"/>
      <c r="X442" s="11"/>
      <c r="Y442" s="11"/>
      <c r="Z442" s="11"/>
      <c r="AA442" s="11">
        <v>437</v>
      </c>
      <c r="AB442" s="11">
        <v>23</v>
      </c>
      <c r="AC442" s="11"/>
      <c r="AD442" s="11"/>
      <c r="AE442" s="11"/>
      <c r="AF442" s="11">
        <v>547</v>
      </c>
      <c r="AG442" s="11"/>
      <c r="AH442" s="11"/>
      <c r="AI442" s="11"/>
      <c r="AJ442" s="11"/>
      <c r="AK442" s="11"/>
      <c r="AL442" s="11">
        <v>600</v>
      </c>
      <c r="AM442" s="11"/>
      <c r="AN442" s="11"/>
      <c r="AO442" s="11"/>
      <c r="AP442" s="11"/>
      <c r="AQ442" s="11">
        <v>509</v>
      </c>
      <c r="AR442" s="11">
        <v>450</v>
      </c>
      <c r="AS442" s="11">
        <v>188</v>
      </c>
      <c r="AT442" s="11"/>
      <c r="AU442" s="11"/>
      <c r="AV442" s="20" t="str">
        <f>HYPERLINK("http://www.openstreetmap.org/?mlat=34.589&amp;mlon=43.6753&amp;zoom=12#map=12/34.589/43.6753","Maplink1")</f>
        <v>Maplink1</v>
      </c>
      <c r="AW442" s="20" t="str">
        <f>HYPERLINK("https://www.google.iq/maps/search/+34.589,43.6753/@34.589,43.6753,14z?hl=en","Maplink2")</f>
        <v>Maplink2</v>
      </c>
      <c r="AX442" s="20" t="str">
        <f>HYPERLINK("http://www.bing.com/maps/?lvl=14&amp;sty=h&amp;cp=34.589~43.6753&amp;sp=point.34.589_43.6753_Hay Al-jamiyah -mahalla 418","Maplink3")</f>
        <v>Maplink3</v>
      </c>
    </row>
    <row r="443" spans="1:50" x14ac:dyDescent="0.25">
      <c r="A443" s="9">
        <v>22812</v>
      </c>
      <c r="B443" s="10" t="s">
        <v>22</v>
      </c>
      <c r="C443" s="10" t="s">
        <v>793</v>
      </c>
      <c r="D443" s="10" t="s">
        <v>1059</v>
      </c>
      <c r="E443" s="10" t="s">
        <v>1202</v>
      </c>
      <c r="F443" s="10">
        <v>34.601669999999999</v>
      </c>
      <c r="G443" s="10">
        <v>43.676316</v>
      </c>
      <c r="H443" s="10" t="s">
        <v>736</v>
      </c>
      <c r="I443" s="10" t="s">
        <v>796</v>
      </c>
      <c r="J443" s="10" t="s">
        <v>849</v>
      </c>
      <c r="K443" s="11">
        <v>740</v>
      </c>
      <c r="L443" s="11">
        <v>4440</v>
      </c>
      <c r="M443" s="11"/>
      <c r="N443" s="11"/>
      <c r="O443" s="11">
        <v>18</v>
      </c>
      <c r="P443" s="11"/>
      <c r="Q443" s="11"/>
      <c r="R443" s="11"/>
      <c r="S443" s="11">
        <v>229</v>
      </c>
      <c r="T443" s="11"/>
      <c r="U443" s="11">
        <v>307</v>
      </c>
      <c r="V443" s="11"/>
      <c r="W443" s="11"/>
      <c r="X443" s="11"/>
      <c r="Y443" s="11"/>
      <c r="Z443" s="11"/>
      <c r="AA443" s="11">
        <v>37</v>
      </c>
      <c r="AB443" s="11">
        <v>149</v>
      </c>
      <c r="AC443" s="11"/>
      <c r="AD443" s="11"/>
      <c r="AE443" s="11"/>
      <c r="AF443" s="11">
        <v>740</v>
      </c>
      <c r="AG443" s="11"/>
      <c r="AH443" s="11"/>
      <c r="AI443" s="11"/>
      <c r="AJ443" s="11"/>
      <c r="AK443" s="11"/>
      <c r="AL443" s="11"/>
      <c r="AM443" s="11"/>
      <c r="AN443" s="11"/>
      <c r="AO443" s="11"/>
      <c r="AP443" s="11">
        <v>15</v>
      </c>
      <c r="AQ443" s="11">
        <v>685</v>
      </c>
      <c r="AR443" s="11">
        <v>40</v>
      </c>
      <c r="AS443" s="11"/>
      <c r="AT443" s="11"/>
      <c r="AU443" s="11"/>
      <c r="AV443" s="20" t="str">
        <f>HYPERLINK("http://www.openstreetmap.org/?mlat=34.6017&amp;mlon=43.6763&amp;zoom=12#map=12/34.6017/43.6763","Maplink1")</f>
        <v>Maplink1</v>
      </c>
      <c r="AW443" s="20" t="str">
        <f>HYPERLINK("https://www.google.iq/maps/search/+34.6017,43.6763/@34.6017,43.6763,14z?hl=en","Maplink2")</f>
        <v>Maplink2</v>
      </c>
      <c r="AX443" s="20" t="str">
        <f>HYPERLINK("http://www.bing.com/maps/?lvl=14&amp;sty=h&amp;cp=34.6017~43.6763&amp;sp=point.34.6017_43.6763_Hay Al-mualimeen-mahalla 406","Maplink3")</f>
        <v>Maplink3</v>
      </c>
    </row>
    <row r="444" spans="1:50" x14ac:dyDescent="0.25">
      <c r="A444" s="9">
        <v>21592</v>
      </c>
      <c r="B444" s="10" t="s">
        <v>22</v>
      </c>
      <c r="C444" s="10" t="s">
        <v>793</v>
      </c>
      <c r="D444" s="10" t="s">
        <v>910</v>
      </c>
      <c r="E444" s="10" t="s">
        <v>844</v>
      </c>
      <c r="F444" s="10">
        <v>34.710113999999997</v>
      </c>
      <c r="G444" s="10">
        <v>43.710335999999998</v>
      </c>
      <c r="H444" s="10" t="s">
        <v>736</v>
      </c>
      <c r="I444" s="10" t="s">
        <v>796</v>
      </c>
      <c r="J444" s="10" t="s">
        <v>845</v>
      </c>
      <c r="K444" s="11">
        <v>765</v>
      </c>
      <c r="L444" s="11">
        <v>4590</v>
      </c>
      <c r="M444" s="11"/>
      <c r="N444" s="11"/>
      <c r="O444" s="11"/>
      <c r="P444" s="11"/>
      <c r="Q444" s="11"/>
      <c r="R444" s="11"/>
      <c r="S444" s="11">
        <v>200</v>
      </c>
      <c r="T444" s="11"/>
      <c r="U444" s="11">
        <v>415</v>
      </c>
      <c r="V444" s="11"/>
      <c r="W444" s="11"/>
      <c r="X444" s="11"/>
      <c r="Y444" s="11"/>
      <c r="Z444" s="11"/>
      <c r="AA444" s="11">
        <v>150</v>
      </c>
      <c r="AB444" s="11"/>
      <c r="AC444" s="11"/>
      <c r="AD444" s="11"/>
      <c r="AE444" s="11"/>
      <c r="AF444" s="11">
        <v>765</v>
      </c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>
        <v>615</v>
      </c>
      <c r="AR444" s="11"/>
      <c r="AS444" s="11">
        <v>150</v>
      </c>
      <c r="AT444" s="11"/>
      <c r="AU444" s="11"/>
      <c r="AV444" s="20" t="str">
        <f>HYPERLINK("http://www.openstreetmap.org/?mlat=34.7101&amp;mlon=43.7103&amp;zoom=12#map=12/34.7101/43.7103","Maplink1")</f>
        <v>Maplink1</v>
      </c>
      <c r="AW444" s="20" t="str">
        <f>HYPERLINK("https://www.google.iq/maps/search/+34.7101,43.7103/@34.7101,43.7103,14z?hl=en","Maplink2")</f>
        <v>Maplink2</v>
      </c>
      <c r="AX444" s="20" t="str">
        <f>HYPERLINK("http://www.bing.com/maps/?lvl=14&amp;sty=h&amp;cp=34.7101~43.7103&amp;sp=point.34.7101_43.7103_Hay Al sinay - Al samad","Maplink3")</f>
        <v>Maplink3</v>
      </c>
    </row>
    <row r="445" spans="1:50" s="19" customFormat="1" x14ac:dyDescent="0.25">
      <c r="A445" s="9">
        <v>22468</v>
      </c>
      <c r="B445" s="10" t="s">
        <v>22</v>
      </c>
      <c r="C445" s="10" t="s">
        <v>793</v>
      </c>
      <c r="D445" s="10" t="s">
        <v>1060</v>
      </c>
      <c r="E445" s="10" t="s">
        <v>855</v>
      </c>
      <c r="F445" s="10">
        <v>34.646315999999999</v>
      </c>
      <c r="G445" s="10">
        <v>43.656804000000001</v>
      </c>
      <c r="H445" s="10" t="s">
        <v>736</v>
      </c>
      <c r="I445" s="10" t="s">
        <v>796</v>
      </c>
      <c r="J445" s="10" t="s">
        <v>856</v>
      </c>
      <c r="K445" s="11">
        <v>1262</v>
      </c>
      <c r="L445" s="11">
        <v>7572</v>
      </c>
      <c r="M445" s="11"/>
      <c r="N445" s="11"/>
      <c r="O445" s="11">
        <v>23</v>
      </c>
      <c r="P445" s="11"/>
      <c r="Q445" s="11"/>
      <c r="R445" s="11"/>
      <c r="S445" s="11">
        <v>377</v>
      </c>
      <c r="T445" s="11"/>
      <c r="U445" s="11">
        <v>753</v>
      </c>
      <c r="V445" s="11"/>
      <c r="W445" s="11"/>
      <c r="X445" s="11"/>
      <c r="Y445" s="11"/>
      <c r="Z445" s="11"/>
      <c r="AA445" s="11">
        <v>7</v>
      </c>
      <c r="AB445" s="11">
        <v>102</v>
      </c>
      <c r="AC445" s="11"/>
      <c r="AD445" s="11"/>
      <c r="AE445" s="11"/>
      <c r="AF445" s="11">
        <v>1204</v>
      </c>
      <c r="AG445" s="11"/>
      <c r="AH445" s="11"/>
      <c r="AI445" s="11"/>
      <c r="AJ445" s="11"/>
      <c r="AK445" s="11"/>
      <c r="AL445" s="11">
        <v>58</v>
      </c>
      <c r="AM445" s="11"/>
      <c r="AN445" s="11"/>
      <c r="AO445" s="11"/>
      <c r="AP445" s="11"/>
      <c r="AQ445" s="11">
        <v>885</v>
      </c>
      <c r="AR445" s="11">
        <v>364</v>
      </c>
      <c r="AS445" s="11">
        <v>13</v>
      </c>
      <c r="AT445" s="11"/>
      <c r="AU445" s="11"/>
      <c r="AV445" s="20" t="str">
        <f>HYPERLINK("http://www.openstreetmap.org/?mlat=34.6463&amp;mlon=43.6568&amp;zoom=12#map=12/34.6463/43.6568","Maplink1")</f>
        <v>Maplink1</v>
      </c>
      <c r="AW445" s="20" t="str">
        <f>HYPERLINK("https://www.google.iq/maps/search/+34.6463,43.6568/@34.6463,43.6568,14z?hl=en","Maplink2")</f>
        <v>Maplink2</v>
      </c>
      <c r="AX445" s="20" t="str">
        <f>HYPERLINK("http://www.bing.com/maps/?lvl=14&amp;sty=h&amp;cp=34.6463~43.6568&amp;sp=point.34.6463_43.6568_Hay Al-zuhoor-mahalla 422","Maplink3")</f>
        <v>Maplink3</v>
      </c>
    </row>
    <row r="446" spans="1:50" s="19" customFormat="1" x14ac:dyDescent="0.25">
      <c r="A446" s="9">
        <v>28412</v>
      </c>
      <c r="B446" s="10" t="s">
        <v>22</v>
      </c>
      <c r="C446" s="10" t="s">
        <v>793</v>
      </c>
      <c r="D446" s="10" t="s">
        <v>850</v>
      </c>
      <c r="E446" s="10" t="s">
        <v>851</v>
      </c>
      <c r="F446" s="10">
        <v>34.671388</v>
      </c>
      <c r="G446" s="10">
        <v>43.675550000000001</v>
      </c>
      <c r="H446" s="10" t="s">
        <v>736</v>
      </c>
      <c r="I446" s="10"/>
      <c r="J446" s="10"/>
      <c r="K446" s="11">
        <v>118</v>
      </c>
      <c r="L446" s="11">
        <v>708</v>
      </c>
      <c r="M446" s="11"/>
      <c r="N446" s="11"/>
      <c r="O446" s="11"/>
      <c r="P446" s="11"/>
      <c r="Q446" s="11"/>
      <c r="R446" s="11"/>
      <c r="S446" s="11"/>
      <c r="T446" s="11"/>
      <c r="U446" s="11">
        <v>3</v>
      </c>
      <c r="V446" s="11"/>
      <c r="W446" s="11"/>
      <c r="X446" s="11"/>
      <c r="Y446" s="11"/>
      <c r="Z446" s="11"/>
      <c r="AA446" s="11">
        <v>115</v>
      </c>
      <c r="AB446" s="11"/>
      <c r="AC446" s="11"/>
      <c r="AD446" s="11"/>
      <c r="AE446" s="11"/>
      <c r="AF446" s="11">
        <v>90</v>
      </c>
      <c r="AG446" s="11"/>
      <c r="AH446" s="11"/>
      <c r="AI446" s="11"/>
      <c r="AJ446" s="11"/>
      <c r="AK446" s="11"/>
      <c r="AL446" s="11">
        <v>28</v>
      </c>
      <c r="AM446" s="11"/>
      <c r="AN446" s="11"/>
      <c r="AO446" s="11"/>
      <c r="AP446" s="11"/>
      <c r="AQ446" s="11">
        <v>75</v>
      </c>
      <c r="AR446" s="11">
        <v>23</v>
      </c>
      <c r="AS446" s="11">
        <v>20</v>
      </c>
      <c r="AT446" s="11"/>
      <c r="AU446" s="11"/>
      <c r="AV446" s="20" t="str">
        <f>HYPERLINK("http://www.openstreetmap.org/?mlat=34.6714&amp;mlon=43.6017&amp;zoom=12#map=12/34.6714/43.6017","Maplink1")</f>
        <v>Maplink1</v>
      </c>
      <c r="AW446" s="20" t="str">
        <f>HYPERLINK("https://www.google.iq/maps/search/+34.6714,43.6017/@34.6714,43.6017,14z?hl=en","Maplink2")</f>
        <v>Maplink2</v>
      </c>
      <c r="AX446" s="20" t="str">
        <f>HYPERLINK("http://www.bing.com/maps/?lvl=14&amp;sty=h&amp;cp=34.6714~43.6017&amp;sp=point.34.6714_43.6017_Al Angaa","Maplink3")</f>
        <v>Maplink3</v>
      </c>
    </row>
    <row r="447" spans="1:50" s="19" customFormat="1" x14ac:dyDescent="0.25">
      <c r="A447" s="9">
        <v>20622</v>
      </c>
      <c r="B447" s="10" t="s">
        <v>22</v>
      </c>
      <c r="C447" s="10" t="s">
        <v>793</v>
      </c>
      <c r="D447" s="10" t="s">
        <v>1061</v>
      </c>
      <c r="E447" s="10" t="s">
        <v>852</v>
      </c>
      <c r="F447" s="10">
        <v>34.700175999999999</v>
      </c>
      <c r="G447" s="10">
        <v>43.608103999999997</v>
      </c>
      <c r="H447" s="10" t="s">
        <v>736</v>
      </c>
      <c r="I447" s="10" t="s">
        <v>796</v>
      </c>
      <c r="J447" s="10" t="s">
        <v>853</v>
      </c>
      <c r="K447" s="11">
        <v>178</v>
      </c>
      <c r="L447" s="11">
        <v>1068</v>
      </c>
      <c r="M447" s="11"/>
      <c r="N447" s="11"/>
      <c r="O447" s="11">
        <v>36</v>
      </c>
      <c r="P447" s="11"/>
      <c r="Q447" s="11">
        <v>5</v>
      </c>
      <c r="R447" s="11"/>
      <c r="S447" s="11"/>
      <c r="T447" s="11"/>
      <c r="U447" s="11">
        <v>97</v>
      </c>
      <c r="V447" s="11"/>
      <c r="W447" s="11"/>
      <c r="X447" s="11"/>
      <c r="Y447" s="11"/>
      <c r="Z447" s="11"/>
      <c r="AA447" s="11">
        <v>30</v>
      </c>
      <c r="AB447" s="11">
        <v>10</v>
      </c>
      <c r="AC447" s="11"/>
      <c r="AD447" s="11"/>
      <c r="AE447" s="11"/>
      <c r="AF447" s="11">
        <v>123</v>
      </c>
      <c r="AG447" s="11"/>
      <c r="AH447" s="11"/>
      <c r="AI447" s="11">
        <v>55</v>
      </c>
      <c r="AJ447" s="11"/>
      <c r="AK447" s="11"/>
      <c r="AL447" s="11"/>
      <c r="AM447" s="11"/>
      <c r="AN447" s="11"/>
      <c r="AO447" s="11"/>
      <c r="AP447" s="11"/>
      <c r="AQ447" s="11">
        <v>178</v>
      </c>
      <c r="AR447" s="11"/>
      <c r="AS447" s="11"/>
      <c r="AT447" s="11"/>
      <c r="AU447" s="11"/>
      <c r="AV447" s="20" t="str">
        <f>HYPERLINK("http://www.openstreetmap.org/?mlat=34.7002&amp;mlon=43.6081&amp;zoom=12#map=12/34.7002/43.6081","Maplink1")</f>
        <v>Maplink1</v>
      </c>
      <c r="AW447" s="20" t="str">
        <f>HYPERLINK("https://www.google.iq/maps/search/+34.7002,43.6081/@34.7002,43.6081,14z?hl=en","Maplink2")</f>
        <v>Maplink2</v>
      </c>
      <c r="AX447" s="20" t="str">
        <f>HYPERLINK("http://www.bing.com/maps/?lvl=14&amp;sty=h&amp;cp=34.7002~43.6081&amp;sp=point.34.7002_43.6081_Hay Al-Suqoore","Maplink3")</f>
        <v>Maplink3</v>
      </c>
    </row>
    <row r="448" spans="1:50" s="19" customFormat="1" x14ac:dyDescent="0.25">
      <c r="A448" s="9">
        <v>28413</v>
      </c>
      <c r="B448" s="10" t="s">
        <v>22</v>
      </c>
      <c r="C448" s="10" t="s">
        <v>793</v>
      </c>
      <c r="D448" s="10" t="s">
        <v>854</v>
      </c>
      <c r="E448" s="10" t="s">
        <v>103</v>
      </c>
      <c r="F448" s="10">
        <v>34.600270000000002</v>
      </c>
      <c r="G448" s="10">
        <v>43.675550000000001</v>
      </c>
      <c r="H448" s="10" t="s">
        <v>736</v>
      </c>
      <c r="I448" s="10"/>
      <c r="J448" s="10"/>
      <c r="K448" s="11">
        <v>79</v>
      </c>
      <c r="L448" s="11">
        <v>474</v>
      </c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>
        <v>79</v>
      </c>
      <c r="AB448" s="11"/>
      <c r="AC448" s="11"/>
      <c r="AD448" s="11"/>
      <c r="AE448" s="11"/>
      <c r="AF448" s="11">
        <v>65</v>
      </c>
      <c r="AG448" s="11"/>
      <c r="AH448" s="11"/>
      <c r="AI448" s="11"/>
      <c r="AJ448" s="11"/>
      <c r="AK448" s="11"/>
      <c r="AL448" s="11">
        <v>14</v>
      </c>
      <c r="AM448" s="11"/>
      <c r="AN448" s="11"/>
      <c r="AO448" s="11"/>
      <c r="AP448" s="11"/>
      <c r="AQ448" s="11">
        <v>50</v>
      </c>
      <c r="AR448" s="11">
        <v>20</v>
      </c>
      <c r="AS448" s="11">
        <v>9</v>
      </c>
      <c r="AT448" s="11"/>
      <c r="AU448" s="11"/>
      <c r="AV448" s="20" t="str">
        <f>HYPERLINK("http://www.openstreetmap.org/?mlat=34.6003&amp;mlon=43.6756&amp;zoom=12#map=12/34.6003/43.6756","Maplink1")</f>
        <v>Maplink1</v>
      </c>
      <c r="AW448" s="20" t="str">
        <f>HYPERLINK("https://www.google.iq/maps/search/+34.6003,43.6756/@34.6003,43.6756,14z?hl=en","Maplink2")</f>
        <v>Maplink2</v>
      </c>
      <c r="AX448" s="20" t="str">
        <f>HYPERLINK("http://www.bing.com/maps/?lvl=14&amp;sty=h&amp;cp=34.6003~43.6756&amp;sp=point.34.6003_43.6756_Al Angaa","Maplink3")</f>
        <v>Maplink3</v>
      </c>
    </row>
    <row r="449" spans="1:50" s="19" customFormat="1" x14ac:dyDescent="0.25">
      <c r="A449" s="9">
        <v>22058</v>
      </c>
      <c r="B449" s="10" t="s">
        <v>22</v>
      </c>
      <c r="C449" s="10" t="s">
        <v>793</v>
      </c>
      <c r="D449" s="10" t="s">
        <v>1062</v>
      </c>
      <c r="E449" s="10" t="s">
        <v>1203</v>
      </c>
      <c r="F449" s="10">
        <v>34.599662000000002</v>
      </c>
      <c r="G449" s="10">
        <v>43.653444</v>
      </c>
      <c r="H449" s="10" t="s">
        <v>736</v>
      </c>
      <c r="I449" s="10" t="s">
        <v>796</v>
      </c>
      <c r="J449" s="10" t="s">
        <v>857</v>
      </c>
      <c r="K449" s="11">
        <v>607</v>
      </c>
      <c r="L449" s="11">
        <v>3642</v>
      </c>
      <c r="M449" s="11"/>
      <c r="N449" s="11"/>
      <c r="O449" s="11">
        <v>25</v>
      </c>
      <c r="P449" s="11"/>
      <c r="Q449" s="11"/>
      <c r="R449" s="11"/>
      <c r="S449" s="11">
        <v>122</v>
      </c>
      <c r="T449" s="11"/>
      <c r="U449" s="11">
        <v>365</v>
      </c>
      <c r="V449" s="11"/>
      <c r="W449" s="11"/>
      <c r="X449" s="11"/>
      <c r="Y449" s="11"/>
      <c r="Z449" s="11"/>
      <c r="AA449" s="11">
        <v>64</v>
      </c>
      <c r="AB449" s="11">
        <v>31</v>
      </c>
      <c r="AC449" s="11"/>
      <c r="AD449" s="11"/>
      <c r="AE449" s="11"/>
      <c r="AF449" s="11">
        <v>607</v>
      </c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>
        <v>583</v>
      </c>
      <c r="AR449" s="11">
        <v>24</v>
      </c>
      <c r="AS449" s="11"/>
      <c r="AT449" s="11"/>
      <c r="AU449" s="11"/>
      <c r="AV449" s="20" t="str">
        <f>HYPERLINK("http://www.openstreetmap.org/?mlat=34.5997&amp;mlon=43.6534&amp;zoom=12#map=12/34.5997/43.6534","Maplink1")</f>
        <v>Maplink1</v>
      </c>
      <c r="AW449" s="20" t="str">
        <f>HYPERLINK("https://www.google.iq/maps/search/+34.5997,43.6534/@34.5997,43.6534,14z?hl=en","Maplink2")</f>
        <v>Maplink2</v>
      </c>
      <c r="AX449" s="20" t="str">
        <f>HYPERLINK("http://www.bing.com/maps/?lvl=14&amp;sty=h&amp;cp=34.5997~43.6534&amp;sp=point.34.5997_43.6534_Hay Aldiuom","Maplink3")</f>
        <v>Maplink3</v>
      </c>
    </row>
    <row r="450" spans="1:50" s="19" customFormat="1" x14ac:dyDescent="0.25">
      <c r="A450" s="9">
        <v>27369</v>
      </c>
      <c r="B450" s="10" t="s">
        <v>22</v>
      </c>
      <c r="C450" s="10" t="s">
        <v>793</v>
      </c>
      <c r="D450" s="10" t="s">
        <v>858</v>
      </c>
      <c r="E450" s="10" t="s">
        <v>1204</v>
      </c>
      <c r="F450" s="10">
        <v>34.588019000000003</v>
      </c>
      <c r="G450" s="10">
        <v>43.665976000000001</v>
      </c>
      <c r="H450" s="10" t="s">
        <v>736</v>
      </c>
      <c r="I450" s="10" t="s">
        <v>796</v>
      </c>
      <c r="J450" s="10"/>
      <c r="K450" s="11">
        <v>700</v>
      </c>
      <c r="L450" s="11">
        <v>4200</v>
      </c>
      <c r="M450" s="11"/>
      <c r="N450" s="11"/>
      <c r="O450" s="11">
        <v>10</v>
      </c>
      <c r="P450" s="11"/>
      <c r="Q450" s="11"/>
      <c r="R450" s="11"/>
      <c r="S450" s="11">
        <v>72</v>
      </c>
      <c r="T450" s="11"/>
      <c r="U450" s="11">
        <v>490</v>
      </c>
      <c r="V450" s="11"/>
      <c r="W450" s="11"/>
      <c r="X450" s="11"/>
      <c r="Y450" s="11"/>
      <c r="Z450" s="11"/>
      <c r="AA450" s="11">
        <v>103</v>
      </c>
      <c r="AB450" s="11">
        <v>25</v>
      </c>
      <c r="AC450" s="11"/>
      <c r="AD450" s="11"/>
      <c r="AE450" s="11"/>
      <c r="AF450" s="11">
        <v>400</v>
      </c>
      <c r="AG450" s="11"/>
      <c r="AH450" s="11"/>
      <c r="AI450" s="11">
        <v>300</v>
      </c>
      <c r="AJ450" s="11"/>
      <c r="AK450" s="11"/>
      <c r="AL450" s="11"/>
      <c r="AM450" s="11"/>
      <c r="AN450" s="11"/>
      <c r="AO450" s="11"/>
      <c r="AP450" s="11"/>
      <c r="AQ450" s="11">
        <v>583</v>
      </c>
      <c r="AR450" s="11">
        <v>115</v>
      </c>
      <c r="AS450" s="11"/>
      <c r="AT450" s="11"/>
      <c r="AU450" s="11">
        <v>2</v>
      </c>
      <c r="AV450" s="20" t="str">
        <f>HYPERLINK("http://www.openstreetmap.org/?mlat=34.588&amp;mlon=43.666&amp;zoom=12#map=12/34.588/43.666","Maplink1")</f>
        <v>Maplink1</v>
      </c>
      <c r="AW450" s="20" t="str">
        <f>HYPERLINK("https://www.google.iq/maps/search/+34.588,43.666/@34.588,43.666,14z?hl=en","Maplink2")</f>
        <v>Maplink2</v>
      </c>
      <c r="AX450" s="20" t="str">
        <f>HYPERLINK("http://www.bing.com/maps/?lvl=14&amp;sty=h&amp;cp=34.588~43.666&amp;sp=point.34.588_43.666_Hay Alfirdous","Maplink3")</f>
        <v>Maplink3</v>
      </c>
    </row>
    <row r="451" spans="1:50" s="19" customFormat="1" x14ac:dyDescent="0.25">
      <c r="A451" s="9">
        <v>27368</v>
      </c>
      <c r="B451" s="10" t="s">
        <v>22</v>
      </c>
      <c r="C451" s="10" t="s">
        <v>793</v>
      </c>
      <c r="D451" s="10" t="s">
        <v>859</v>
      </c>
      <c r="E451" s="10" t="s">
        <v>860</v>
      </c>
      <c r="F451" s="10">
        <v>34.607992000000003</v>
      </c>
      <c r="G451" s="10">
        <v>43.667242999999999</v>
      </c>
      <c r="H451" s="10" t="s">
        <v>736</v>
      </c>
      <c r="I451" s="10" t="s">
        <v>796</v>
      </c>
      <c r="J451" s="10"/>
      <c r="K451" s="11">
        <v>90</v>
      </c>
      <c r="L451" s="11">
        <v>540</v>
      </c>
      <c r="M451" s="11"/>
      <c r="N451" s="11"/>
      <c r="O451" s="11"/>
      <c r="P451" s="11"/>
      <c r="Q451" s="11"/>
      <c r="R451" s="11"/>
      <c r="S451" s="11">
        <v>22</v>
      </c>
      <c r="T451" s="11"/>
      <c r="U451" s="11">
        <v>28</v>
      </c>
      <c r="V451" s="11"/>
      <c r="W451" s="11"/>
      <c r="X451" s="11"/>
      <c r="Y451" s="11"/>
      <c r="Z451" s="11"/>
      <c r="AA451" s="11">
        <v>40</v>
      </c>
      <c r="AB451" s="11"/>
      <c r="AC451" s="11"/>
      <c r="AD451" s="11"/>
      <c r="AE451" s="11"/>
      <c r="AF451" s="11">
        <v>86</v>
      </c>
      <c r="AG451" s="11"/>
      <c r="AH451" s="11"/>
      <c r="AI451" s="11"/>
      <c r="AJ451" s="11"/>
      <c r="AK451" s="11"/>
      <c r="AL451" s="11">
        <v>4</v>
      </c>
      <c r="AM451" s="11"/>
      <c r="AN451" s="11"/>
      <c r="AO451" s="11"/>
      <c r="AP451" s="11"/>
      <c r="AQ451" s="11">
        <v>70</v>
      </c>
      <c r="AR451" s="11">
        <v>20</v>
      </c>
      <c r="AS451" s="11"/>
      <c r="AT451" s="11"/>
      <c r="AU451" s="11"/>
      <c r="AV451" s="20" t="str">
        <f>HYPERLINK("http://www.openstreetmap.org/?mlat=34.608&amp;mlon=43.6672&amp;zoom=12#map=12/34.608/43.6672","Maplink1")</f>
        <v>Maplink1</v>
      </c>
      <c r="AW451" s="20" t="str">
        <f>HYPERLINK("https://www.google.iq/maps/search/+34.608,43.6672/@34.608,43.6672,14z?hl=en","Maplink2")</f>
        <v>Maplink2</v>
      </c>
      <c r="AX451" s="20" t="str">
        <f>HYPERLINK("http://www.bing.com/maps/?lvl=14&amp;sty=h&amp;cp=34.608~43.6672&amp;sp=point.34.608_43.6672_Hay Alkahrbaa","Maplink3")</f>
        <v>Maplink3</v>
      </c>
    </row>
    <row r="452" spans="1:50" s="19" customFormat="1" x14ac:dyDescent="0.25">
      <c r="A452" s="9">
        <v>22965</v>
      </c>
      <c r="B452" s="10" t="s">
        <v>22</v>
      </c>
      <c r="C452" s="10" t="s">
        <v>793</v>
      </c>
      <c r="D452" s="10" t="s">
        <v>861</v>
      </c>
      <c r="E452" s="10" t="s">
        <v>1205</v>
      </c>
      <c r="F452" s="10">
        <v>34.603507999999998</v>
      </c>
      <c r="G452" s="10">
        <v>43.686242999999997</v>
      </c>
      <c r="H452" s="10" t="s">
        <v>736</v>
      </c>
      <c r="I452" s="10" t="s">
        <v>796</v>
      </c>
      <c r="J452" s="10" t="s">
        <v>862</v>
      </c>
      <c r="K452" s="11">
        <v>130</v>
      </c>
      <c r="L452" s="11">
        <v>780</v>
      </c>
      <c r="M452" s="11"/>
      <c r="N452" s="11"/>
      <c r="O452" s="11">
        <v>8</v>
      </c>
      <c r="P452" s="11"/>
      <c r="Q452" s="11"/>
      <c r="R452" s="11"/>
      <c r="S452" s="11"/>
      <c r="T452" s="11"/>
      <c r="U452" s="11">
        <v>46</v>
      </c>
      <c r="V452" s="11"/>
      <c r="W452" s="11"/>
      <c r="X452" s="11"/>
      <c r="Y452" s="11"/>
      <c r="Z452" s="11"/>
      <c r="AA452" s="11">
        <v>76</v>
      </c>
      <c r="AB452" s="11"/>
      <c r="AC452" s="11"/>
      <c r="AD452" s="11"/>
      <c r="AE452" s="11"/>
      <c r="AF452" s="11">
        <v>96</v>
      </c>
      <c r="AG452" s="11"/>
      <c r="AH452" s="11"/>
      <c r="AI452" s="11"/>
      <c r="AJ452" s="11"/>
      <c r="AK452" s="11"/>
      <c r="AL452" s="11">
        <v>34</v>
      </c>
      <c r="AM452" s="11"/>
      <c r="AN452" s="11"/>
      <c r="AO452" s="11"/>
      <c r="AP452" s="11"/>
      <c r="AQ452" s="11">
        <v>30</v>
      </c>
      <c r="AR452" s="11">
        <v>40</v>
      </c>
      <c r="AS452" s="11">
        <v>60</v>
      </c>
      <c r="AT452" s="11"/>
      <c r="AU452" s="11"/>
      <c r="AV452" s="20" t="str">
        <f>HYPERLINK("http://www.openstreetmap.org/?mlat=34.6035&amp;mlon=43.6862&amp;zoom=12#map=12/34.6035/43.6862","Maplink1")</f>
        <v>Maplink1</v>
      </c>
      <c r="AW452" s="20" t="str">
        <f>HYPERLINK("https://www.google.iq/maps/search/+34.6035,43.6862/@34.6035,43.6862,14z?hl=en","Maplink2")</f>
        <v>Maplink2</v>
      </c>
      <c r="AX452" s="20" t="str">
        <f>HYPERLINK("http://www.bing.com/maps/?lvl=14&amp;sty=h&amp;cp=34.6035~43.6862&amp;sp=point.34.6035_43.6862_Hay Alqalaa","Maplink3")</f>
        <v>Maplink3</v>
      </c>
    </row>
    <row r="453" spans="1:50" s="19" customFormat="1" x14ac:dyDescent="0.25">
      <c r="A453" s="9">
        <v>20663</v>
      </c>
      <c r="B453" s="10" t="s">
        <v>22</v>
      </c>
      <c r="C453" s="10" t="s">
        <v>793</v>
      </c>
      <c r="D453" s="10" t="s">
        <v>1063</v>
      </c>
      <c r="E453" s="10" t="s">
        <v>863</v>
      </c>
      <c r="F453" s="10">
        <v>34.587240000000001</v>
      </c>
      <c r="G453" s="10">
        <v>43.682566000000001</v>
      </c>
      <c r="H453" s="10" t="s">
        <v>736</v>
      </c>
      <c r="I453" s="10" t="s">
        <v>796</v>
      </c>
      <c r="J453" s="10" t="s">
        <v>864</v>
      </c>
      <c r="K453" s="11">
        <v>275</v>
      </c>
      <c r="L453" s="11">
        <v>1650</v>
      </c>
      <c r="M453" s="11"/>
      <c r="N453" s="11"/>
      <c r="O453" s="11">
        <v>7</v>
      </c>
      <c r="P453" s="11"/>
      <c r="Q453" s="11"/>
      <c r="R453" s="11"/>
      <c r="S453" s="11">
        <v>57</v>
      </c>
      <c r="T453" s="11"/>
      <c r="U453" s="11">
        <v>183</v>
      </c>
      <c r="V453" s="11"/>
      <c r="W453" s="11"/>
      <c r="X453" s="11"/>
      <c r="Y453" s="11"/>
      <c r="Z453" s="11"/>
      <c r="AA453" s="11">
        <v>14</v>
      </c>
      <c r="AB453" s="11">
        <v>14</v>
      </c>
      <c r="AC453" s="11"/>
      <c r="AD453" s="11"/>
      <c r="AE453" s="11"/>
      <c r="AF453" s="11">
        <v>241</v>
      </c>
      <c r="AG453" s="11"/>
      <c r="AH453" s="11"/>
      <c r="AI453" s="11"/>
      <c r="AJ453" s="11"/>
      <c r="AK453" s="11"/>
      <c r="AL453" s="11">
        <v>34</v>
      </c>
      <c r="AM453" s="11"/>
      <c r="AN453" s="11"/>
      <c r="AO453" s="11"/>
      <c r="AP453" s="11">
        <v>18</v>
      </c>
      <c r="AQ453" s="11">
        <v>202</v>
      </c>
      <c r="AR453" s="11">
        <v>55</v>
      </c>
      <c r="AS453" s="11"/>
      <c r="AT453" s="11"/>
      <c r="AU453" s="11"/>
      <c r="AV453" s="20" t="str">
        <f>HYPERLINK("http://www.openstreetmap.org/?mlat=34.5872&amp;mlon=43.6826&amp;zoom=12#map=12/34.5872/43.6826","Maplink1")</f>
        <v>Maplink1</v>
      </c>
      <c r="AW453" s="20" t="str">
        <f>HYPERLINK("https://www.google.iq/maps/search/+34.5872,43.6826/@34.5872,43.6826,14z?hl=en","Maplink2")</f>
        <v>Maplink2</v>
      </c>
      <c r="AX453" s="20" t="str">
        <f>HYPERLINK("http://www.bing.com/maps/?lvl=14&amp;sty=h&amp;cp=34.5872~43.6826&amp;sp=point.34.5872_43.6826_Hay Altajneed","Maplink3")</f>
        <v>Maplink3</v>
      </c>
    </row>
    <row r="454" spans="1:50" s="19" customFormat="1" x14ac:dyDescent="0.25">
      <c r="A454" s="9">
        <v>27367</v>
      </c>
      <c r="B454" s="10" t="s">
        <v>22</v>
      </c>
      <c r="C454" s="10" t="s">
        <v>793</v>
      </c>
      <c r="D454" s="10" t="s">
        <v>865</v>
      </c>
      <c r="E454" s="10" t="s">
        <v>866</v>
      </c>
      <c r="F454" s="10">
        <v>34.584350000000001</v>
      </c>
      <c r="G454" s="10">
        <v>43.683222000000001</v>
      </c>
      <c r="H454" s="10" t="s">
        <v>736</v>
      </c>
      <c r="I454" s="10" t="s">
        <v>796</v>
      </c>
      <c r="J454" s="10"/>
      <c r="K454" s="11">
        <v>317</v>
      </c>
      <c r="L454" s="11">
        <v>1902</v>
      </c>
      <c r="M454" s="11"/>
      <c r="N454" s="11"/>
      <c r="O454" s="11">
        <v>33</v>
      </c>
      <c r="P454" s="11"/>
      <c r="Q454" s="11"/>
      <c r="R454" s="11"/>
      <c r="S454" s="11">
        <v>38</v>
      </c>
      <c r="T454" s="11"/>
      <c r="U454" s="11">
        <v>60</v>
      </c>
      <c r="V454" s="11"/>
      <c r="W454" s="11"/>
      <c r="X454" s="11"/>
      <c r="Y454" s="11"/>
      <c r="Z454" s="11"/>
      <c r="AA454" s="11">
        <v>186</v>
      </c>
      <c r="AB454" s="11"/>
      <c r="AC454" s="11"/>
      <c r="AD454" s="11"/>
      <c r="AE454" s="11"/>
      <c r="AF454" s="11">
        <v>300</v>
      </c>
      <c r="AG454" s="11"/>
      <c r="AH454" s="11"/>
      <c r="AI454" s="11"/>
      <c r="AJ454" s="11"/>
      <c r="AK454" s="11"/>
      <c r="AL454" s="11">
        <v>17</v>
      </c>
      <c r="AM454" s="11"/>
      <c r="AN454" s="11"/>
      <c r="AO454" s="11"/>
      <c r="AP454" s="11"/>
      <c r="AQ454" s="11">
        <v>152</v>
      </c>
      <c r="AR454" s="11">
        <v>85</v>
      </c>
      <c r="AS454" s="11">
        <v>80</v>
      </c>
      <c r="AT454" s="11"/>
      <c r="AU454" s="11"/>
      <c r="AV454" s="20" t="str">
        <f>HYPERLINK("http://www.openstreetmap.org/?mlat=34.5844&amp;mlon=43.6832&amp;zoom=12#map=12/34.5844/43.6832","Maplink1")</f>
        <v>Maplink1</v>
      </c>
      <c r="AW454" s="20" t="str">
        <f>HYPERLINK("https://www.google.iq/maps/search/+34.5844,43.6832/@34.5844,43.6832,14z?hl=en","Maplink2")</f>
        <v>Maplink2</v>
      </c>
      <c r="AX454" s="20" t="str">
        <f>HYPERLINK("http://www.bing.com/maps/?lvl=14&amp;sty=h&amp;cp=34.5844~43.6832&amp;sp=point.34.5844_43.6832_Hay Alziraa","Maplink3")</f>
        <v>Maplink3</v>
      </c>
    </row>
    <row r="455" spans="1:50" s="19" customFormat="1" x14ac:dyDescent="0.25">
      <c r="A455" s="9">
        <v>20624</v>
      </c>
      <c r="B455" s="10" t="s">
        <v>22</v>
      </c>
      <c r="C455" s="10" t="s">
        <v>793</v>
      </c>
      <c r="D455" s="10" t="s">
        <v>1064</v>
      </c>
      <c r="E455" s="10" t="s">
        <v>1206</v>
      </c>
      <c r="F455" s="10">
        <v>34.581498000000003</v>
      </c>
      <c r="G455" s="10">
        <v>43.689431999999996</v>
      </c>
      <c r="H455" s="10" t="s">
        <v>736</v>
      </c>
      <c r="I455" s="10" t="s">
        <v>796</v>
      </c>
      <c r="J455" s="10" t="s">
        <v>836</v>
      </c>
      <c r="K455" s="11">
        <v>415</v>
      </c>
      <c r="L455" s="11">
        <v>2490</v>
      </c>
      <c r="M455" s="11"/>
      <c r="N455" s="11"/>
      <c r="O455" s="11">
        <v>154</v>
      </c>
      <c r="P455" s="11"/>
      <c r="Q455" s="11"/>
      <c r="R455" s="11"/>
      <c r="S455" s="11">
        <v>103</v>
      </c>
      <c r="T455" s="11"/>
      <c r="U455" s="11">
        <v>94</v>
      </c>
      <c r="V455" s="11"/>
      <c r="W455" s="11"/>
      <c r="X455" s="11"/>
      <c r="Y455" s="11"/>
      <c r="Z455" s="11"/>
      <c r="AA455" s="11">
        <v>39</v>
      </c>
      <c r="AB455" s="11">
        <v>25</v>
      </c>
      <c r="AC455" s="11"/>
      <c r="AD455" s="11"/>
      <c r="AE455" s="11"/>
      <c r="AF455" s="11">
        <v>335</v>
      </c>
      <c r="AG455" s="11"/>
      <c r="AH455" s="11"/>
      <c r="AI455" s="11"/>
      <c r="AJ455" s="11"/>
      <c r="AK455" s="11"/>
      <c r="AL455" s="11">
        <v>80</v>
      </c>
      <c r="AM455" s="11"/>
      <c r="AN455" s="11"/>
      <c r="AO455" s="11"/>
      <c r="AP455" s="11"/>
      <c r="AQ455" s="11">
        <v>389</v>
      </c>
      <c r="AR455" s="11">
        <v>26</v>
      </c>
      <c r="AS455" s="11"/>
      <c r="AT455" s="11"/>
      <c r="AU455" s="11"/>
      <c r="AV455" s="20" t="str">
        <f>HYPERLINK("http://www.openstreetmap.org/?mlat=34.5815&amp;mlon=43.6894&amp;zoom=12#map=12/34.5815/43.6894","Maplink1")</f>
        <v>Maplink1</v>
      </c>
      <c r="AW455" s="20" t="str">
        <f>HYPERLINK("https://www.google.iq/maps/search/+34.5815,43.6894/@34.5815,43.6894,14z?hl=en","Maplink2")</f>
        <v>Maplink2</v>
      </c>
      <c r="AX455" s="20" t="str">
        <f>HYPERLINK("http://www.bing.com/maps/?lvl=14&amp;sty=h&amp;cp=34.5815~43.6894&amp;sp=point.34.5815_43.6894_Hay 100 dar","Maplink3")</f>
        <v>Maplink3</v>
      </c>
    </row>
    <row r="456" spans="1:50" x14ac:dyDescent="0.25">
      <c r="A456" s="9">
        <v>25962</v>
      </c>
      <c r="B456" s="10" t="s">
        <v>22</v>
      </c>
      <c r="C456" s="10" t="s">
        <v>793</v>
      </c>
      <c r="D456" s="10" t="s">
        <v>1065</v>
      </c>
      <c r="E456" s="10" t="s">
        <v>1207</v>
      </c>
      <c r="F456" s="10">
        <v>34.610543999999997</v>
      </c>
      <c r="G456" s="10">
        <v>43.678252000000001</v>
      </c>
      <c r="H456" s="10" t="s">
        <v>736</v>
      </c>
      <c r="I456" s="10" t="s">
        <v>796</v>
      </c>
      <c r="J456" s="10"/>
      <c r="K456" s="11">
        <v>677</v>
      </c>
      <c r="L456" s="11">
        <v>4062</v>
      </c>
      <c r="M456" s="11"/>
      <c r="N456" s="11"/>
      <c r="O456" s="11">
        <v>23</v>
      </c>
      <c r="P456" s="11"/>
      <c r="Q456" s="11">
        <v>6</v>
      </c>
      <c r="R456" s="11"/>
      <c r="S456" s="11">
        <v>285</v>
      </c>
      <c r="T456" s="11"/>
      <c r="U456" s="11">
        <v>241</v>
      </c>
      <c r="V456" s="11"/>
      <c r="W456" s="11"/>
      <c r="X456" s="11"/>
      <c r="Y456" s="11"/>
      <c r="Z456" s="11"/>
      <c r="AA456" s="11">
        <v>96</v>
      </c>
      <c r="AB456" s="11">
        <v>26</v>
      </c>
      <c r="AC456" s="11"/>
      <c r="AD456" s="11"/>
      <c r="AE456" s="11"/>
      <c r="AF456" s="11">
        <v>643</v>
      </c>
      <c r="AG456" s="11"/>
      <c r="AH456" s="11"/>
      <c r="AI456" s="11"/>
      <c r="AJ456" s="11"/>
      <c r="AK456" s="11"/>
      <c r="AL456" s="11">
        <v>34</v>
      </c>
      <c r="AM456" s="11"/>
      <c r="AN456" s="11"/>
      <c r="AO456" s="11"/>
      <c r="AP456" s="11"/>
      <c r="AQ456" s="11">
        <v>400</v>
      </c>
      <c r="AR456" s="11">
        <v>100</v>
      </c>
      <c r="AS456" s="11">
        <v>177</v>
      </c>
      <c r="AT456" s="11"/>
      <c r="AU456" s="11"/>
      <c r="AV456" s="20" t="str">
        <f>HYPERLINK("http://www.openstreetmap.org/?mlat=34.6105&amp;mlon=43.6783&amp;zoom=12#map=12/34.6105/43.6783","Maplink1")</f>
        <v>Maplink1</v>
      </c>
      <c r="AW456" s="20" t="str">
        <f>HYPERLINK("https://www.google.iq/maps/search/+34.6105,43.6783/@34.6105,43.6783,14z?hl=en","Maplink2")</f>
        <v>Maplink2</v>
      </c>
      <c r="AX456" s="20" t="str">
        <f>HYPERLINK("http://www.bing.com/maps/?lvl=14&amp;sty=h&amp;cp=34.6105~43.6783&amp;sp=point.34.6105_43.6783_Hay salma Al-taghlubiyah -mahalla 401","Maplink3")</f>
        <v>Maplink3</v>
      </c>
    </row>
    <row r="457" spans="1:50" x14ac:dyDescent="0.25">
      <c r="A457" s="9">
        <v>22966</v>
      </c>
      <c r="B457" s="10" t="s">
        <v>22</v>
      </c>
      <c r="C457" s="10" t="s">
        <v>793</v>
      </c>
      <c r="D457" s="10" t="s">
        <v>1066</v>
      </c>
      <c r="E457" s="10" t="s">
        <v>1208</v>
      </c>
      <c r="F457" s="10">
        <v>34.609135999999999</v>
      </c>
      <c r="G457" s="10">
        <v>43.674841999999998</v>
      </c>
      <c r="H457" s="10" t="s">
        <v>736</v>
      </c>
      <c r="I457" s="10" t="s">
        <v>796</v>
      </c>
      <c r="J457" s="10" t="s">
        <v>867</v>
      </c>
      <c r="K457" s="11">
        <v>140</v>
      </c>
      <c r="L457" s="11">
        <v>840</v>
      </c>
      <c r="M457" s="11"/>
      <c r="N457" s="11"/>
      <c r="O457" s="11"/>
      <c r="P457" s="11"/>
      <c r="Q457" s="11"/>
      <c r="R457" s="11"/>
      <c r="S457" s="11"/>
      <c r="T457" s="11"/>
      <c r="U457" s="11">
        <v>2</v>
      </c>
      <c r="V457" s="11"/>
      <c r="W457" s="11"/>
      <c r="X457" s="11"/>
      <c r="Y457" s="11"/>
      <c r="Z457" s="11"/>
      <c r="AA457" s="11">
        <v>138</v>
      </c>
      <c r="AB457" s="11"/>
      <c r="AC457" s="11"/>
      <c r="AD457" s="11"/>
      <c r="AE457" s="11"/>
      <c r="AF457" s="11">
        <v>140</v>
      </c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>
        <v>61</v>
      </c>
      <c r="AR457" s="11">
        <v>50</v>
      </c>
      <c r="AS457" s="11">
        <v>29</v>
      </c>
      <c r="AT457" s="11"/>
      <c r="AU457" s="11"/>
      <c r="AV457" s="20" t="str">
        <f>HYPERLINK("http://www.openstreetmap.org/?mlat=34.6091&amp;mlon=43.6748&amp;zoom=12#map=12/34.6091/43.6748","Maplink1")</f>
        <v>Maplink1</v>
      </c>
      <c r="AW457" s="20" t="str">
        <f>HYPERLINK("https://www.google.iq/maps/search/+34.6091,43.6748/@34.6091,43.6748,14z?hl=en","Maplink2")</f>
        <v>Maplink2</v>
      </c>
      <c r="AX457" s="20" t="str">
        <f>HYPERLINK("http://www.bing.com/maps/?lvl=14&amp;sty=h&amp;cp=34.6091~43.6748&amp;sp=point.34.6091_43.6748_Hay Shishin-408","Maplink3")</f>
        <v>Maplink3</v>
      </c>
    </row>
    <row r="458" spans="1:50" x14ac:dyDescent="0.25">
      <c r="A458" s="9">
        <v>28449</v>
      </c>
      <c r="B458" s="10" t="s">
        <v>22</v>
      </c>
      <c r="C458" s="10" t="s">
        <v>793</v>
      </c>
      <c r="D458" s="10" t="s">
        <v>1067</v>
      </c>
      <c r="E458" s="10" t="s">
        <v>1209</v>
      </c>
      <c r="F458" s="10">
        <v>34.700857999999997</v>
      </c>
      <c r="G458" s="10">
        <v>43.713856999999997</v>
      </c>
      <c r="H458" s="10" t="s">
        <v>736</v>
      </c>
      <c r="I458" s="10" t="s">
        <v>796</v>
      </c>
      <c r="J458" s="10"/>
      <c r="K458" s="11">
        <v>575</v>
      </c>
      <c r="L458" s="11">
        <v>3450</v>
      </c>
      <c r="M458" s="11"/>
      <c r="N458" s="11"/>
      <c r="O458" s="11"/>
      <c r="P458" s="11"/>
      <c r="Q458" s="11"/>
      <c r="R458" s="11"/>
      <c r="S458" s="11"/>
      <c r="T458" s="11"/>
      <c r="U458" s="11">
        <v>575</v>
      </c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>
        <v>500</v>
      </c>
      <c r="AG458" s="11">
        <v>25</v>
      </c>
      <c r="AH458" s="11"/>
      <c r="AI458" s="11"/>
      <c r="AJ458" s="11"/>
      <c r="AK458" s="11"/>
      <c r="AL458" s="11">
        <v>50</v>
      </c>
      <c r="AM458" s="11"/>
      <c r="AN458" s="11"/>
      <c r="AO458" s="11"/>
      <c r="AP458" s="11"/>
      <c r="AQ458" s="11">
        <v>275</v>
      </c>
      <c r="AR458" s="11">
        <v>300</v>
      </c>
      <c r="AS458" s="11"/>
      <c r="AT458" s="11"/>
      <c r="AU458" s="11"/>
      <c r="AV458" s="20" t="str">
        <f>HYPERLINK("http://www.openstreetmap.org/?mlat=34.7009&amp;mlon=43.7139&amp;zoom=12#map=12/34.7009/43.7139","Maplink1")</f>
        <v>Maplink1</v>
      </c>
      <c r="AW458" s="20" t="str">
        <f>HYPERLINK("https://www.google.iq/maps/search/+34.7009,43.7139/@34.7009,43.7139,14z?hl=en","Maplink2")</f>
        <v>Maplink2</v>
      </c>
      <c r="AX458" s="20" t="str">
        <f>HYPERLINK("http://www.bing.com/maps/?lvl=14&amp;sty=h&amp;cp=34.7009~43.7139&amp;sp=point.34.7009_43.7139_Al Angaa","Maplink3")</f>
        <v>Maplink3</v>
      </c>
    </row>
    <row r="459" spans="1:50" x14ac:dyDescent="0.25">
      <c r="A459" s="9">
        <v>22470</v>
      </c>
      <c r="B459" s="10" t="s">
        <v>22</v>
      </c>
      <c r="C459" s="10" t="s">
        <v>793</v>
      </c>
      <c r="D459" s="10" t="s">
        <v>868</v>
      </c>
      <c r="E459" s="10" t="s">
        <v>869</v>
      </c>
      <c r="F459" s="10">
        <v>34.705091000000003</v>
      </c>
      <c r="G459" s="10">
        <v>43.705285000000003</v>
      </c>
      <c r="H459" s="10" t="s">
        <v>736</v>
      </c>
      <c r="I459" s="10" t="s">
        <v>796</v>
      </c>
      <c r="J459" s="10" t="s">
        <v>870</v>
      </c>
      <c r="K459" s="11">
        <v>687</v>
      </c>
      <c r="L459" s="11">
        <v>4122</v>
      </c>
      <c r="M459" s="11"/>
      <c r="N459" s="11"/>
      <c r="O459" s="11">
        <v>250</v>
      </c>
      <c r="P459" s="11"/>
      <c r="Q459" s="11"/>
      <c r="R459" s="11"/>
      <c r="S459" s="11"/>
      <c r="T459" s="11"/>
      <c r="U459" s="11">
        <v>200</v>
      </c>
      <c r="V459" s="11"/>
      <c r="W459" s="11"/>
      <c r="X459" s="11"/>
      <c r="Y459" s="11"/>
      <c r="Z459" s="11"/>
      <c r="AA459" s="11">
        <v>237</v>
      </c>
      <c r="AB459" s="11"/>
      <c r="AC459" s="11"/>
      <c r="AD459" s="11"/>
      <c r="AE459" s="11"/>
      <c r="AF459" s="11">
        <v>425</v>
      </c>
      <c r="AG459" s="11">
        <v>12</v>
      </c>
      <c r="AH459" s="11"/>
      <c r="AI459" s="11"/>
      <c r="AJ459" s="11"/>
      <c r="AK459" s="11"/>
      <c r="AL459" s="11">
        <v>250</v>
      </c>
      <c r="AM459" s="11"/>
      <c r="AN459" s="11"/>
      <c r="AO459" s="11"/>
      <c r="AP459" s="11"/>
      <c r="AQ459" s="11">
        <v>460</v>
      </c>
      <c r="AR459" s="11">
        <v>227</v>
      </c>
      <c r="AS459" s="11"/>
      <c r="AT459" s="11"/>
      <c r="AU459" s="11"/>
      <c r="AV459" s="20" t="str">
        <f>HYPERLINK("http://www.openstreetmap.org/?mlat=34.7051&amp;mlon=43.7053&amp;zoom=12#map=12/34.7051/43.7053","Maplink1")</f>
        <v>Maplink1</v>
      </c>
      <c r="AW459" s="20" t="str">
        <f>HYPERLINK("https://www.google.iq/maps/search/+34.7051,43.7053/@34.7051,43.7053,14z?hl=en","Maplink2")</f>
        <v>Maplink2</v>
      </c>
      <c r="AX459" s="20" t="str">
        <f>HYPERLINK("http://www.bing.com/maps/?lvl=14&amp;sty=h&amp;cp=34.7051~43.7053&amp;sp=point.34.7051_43.7053_Mahalla Al muwadafeen","Maplink3")</f>
        <v>Maplink3</v>
      </c>
    </row>
    <row r="460" spans="1:50" x14ac:dyDescent="0.25">
      <c r="A460" s="9">
        <v>22059</v>
      </c>
      <c r="B460" s="10" t="s">
        <v>22</v>
      </c>
      <c r="C460" s="10" t="s">
        <v>793</v>
      </c>
      <c r="D460" s="10" t="s">
        <v>871</v>
      </c>
      <c r="E460" s="10" t="s">
        <v>872</v>
      </c>
      <c r="F460" s="10">
        <v>34.792611000000001</v>
      </c>
      <c r="G460" s="10">
        <v>43.611372000000003</v>
      </c>
      <c r="H460" s="10" t="s">
        <v>736</v>
      </c>
      <c r="I460" s="10" t="s">
        <v>796</v>
      </c>
      <c r="J460" s="10" t="s">
        <v>873</v>
      </c>
      <c r="K460" s="11">
        <v>410</v>
      </c>
      <c r="L460" s="11">
        <v>2460</v>
      </c>
      <c r="M460" s="11"/>
      <c r="N460" s="11"/>
      <c r="O460" s="11"/>
      <c r="P460" s="11"/>
      <c r="Q460" s="11"/>
      <c r="R460" s="11"/>
      <c r="S460" s="11"/>
      <c r="T460" s="11"/>
      <c r="U460" s="11">
        <v>410</v>
      </c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>
        <v>410</v>
      </c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>
        <v>410</v>
      </c>
      <c r="AT460" s="11"/>
      <c r="AU460" s="11"/>
      <c r="AV460" s="20" t="str">
        <f>HYPERLINK("http://www.openstreetmap.org/?mlat=34.7926&amp;mlon=43.6114&amp;zoom=12#map=12/34.7926/43.6114","Maplink1")</f>
        <v>Maplink1</v>
      </c>
      <c r="AW460" s="20" t="str">
        <f>HYPERLINK("https://www.google.iq/maps/search/+34.7926,43.6114/@34.7926,43.6114,14z?hl=en","Maplink2")</f>
        <v>Maplink2</v>
      </c>
      <c r="AX460" s="20" t="str">
        <f>HYPERLINK("http://www.bing.com/maps/?lvl=14&amp;sty=h&amp;cp=34.7926~43.6114&amp;sp=point.34.7926_43.6114_Qaryat Erbaidha","Maplink3")</f>
        <v>Maplink3</v>
      </c>
    </row>
    <row r="461" spans="1:50" x14ac:dyDescent="0.25">
      <c r="A461" s="9">
        <v>25922</v>
      </c>
      <c r="B461" s="10" t="s">
        <v>22</v>
      </c>
      <c r="C461" s="10" t="s">
        <v>793</v>
      </c>
      <c r="D461" s="10" t="s">
        <v>1068</v>
      </c>
      <c r="E461" s="10" t="s">
        <v>1210</v>
      </c>
      <c r="F461" s="10">
        <v>34.625763999999997</v>
      </c>
      <c r="G461" s="10">
        <v>43.673105999999997</v>
      </c>
      <c r="H461" s="10" t="s">
        <v>736</v>
      </c>
      <c r="I461" s="10" t="s">
        <v>796</v>
      </c>
      <c r="J461" s="10"/>
      <c r="K461" s="11">
        <v>2088</v>
      </c>
      <c r="L461" s="11">
        <v>12528</v>
      </c>
      <c r="M461" s="11"/>
      <c r="N461" s="11"/>
      <c r="O461" s="11">
        <v>44</v>
      </c>
      <c r="P461" s="11"/>
      <c r="Q461" s="11">
        <v>22</v>
      </c>
      <c r="R461" s="11"/>
      <c r="S461" s="11">
        <v>800</v>
      </c>
      <c r="T461" s="11"/>
      <c r="U461" s="11">
        <v>1043</v>
      </c>
      <c r="V461" s="11"/>
      <c r="W461" s="11"/>
      <c r="X461" s="11"/>
      <c r="Y461" s="11"/>
      <c r="Z461" s="11"/>
      <c r="AA461" s="11">
        <v>62</v>
      </c>
      <c r="AB461" s="11">
        <v>117</v>
      </c>
      <c r="AC461" s="11"/>
      <c r="AD461" s="11"/>
      <c r="AE461" s="11"/>
      <c r="AF461" s="11">
        <v>1841</v>
      </c>
      <c r="AG461" s="11"/>
      <c r="AH461" s="11"/>
      <c r="AI461" s="11"/>
      <c r="AJ461" s="11"/>
      <c r="AK461" s="11"/>
      <c r="AL461" s="11">
        <v>247</v>
      </c>
      <c r="AM461" s="11"/>
      <c r="AN461" s="11"/>
      <c r="AO461" s="11"/>
      <c r="AP461" s="11"/>
      <c r="AQ461" s="11">
        <v>1015</v>
      </c>
      <c r="AR461" s="11">
        <v>600</v>
      </c>
      <c r="AS461" s="11">
        <v>473</v>
      </c>
      <c r="AT461" s="11"/>
      <c r="AU461" s="11"/>
      <c r="AV461" s="20" t="str">
        <f>HYPERLINK("http://www.openstreetmap.org/?mlat=34.6258&amp;mlon=43.6731&amp;zoom=12#map=12/34.6258/43.6731","Maplink1")</f>
        <v>Maplink1</v>
      </c>
      <c r="AW461" s="20" t="str">
        <f>HYPERLINK("https://www.google.iq/maps/search/+34.6258,43.6731/@34.6258,43.6731,14z?hl=en","Maplink2")</f>
        <v>Maplink2</v>
      </c>
      <c r="AX461" s="20" t="str">
        <f>HYPERLINK("http://www.bing.com/maps/?lvl=14&amp;sty=h&amp;cp=34.6258~43.6731&amp;sp=point.34.6258_43.6731_Qdisiyah1-mahalla 214","Maplink3")</f>
        <v>Maplink3</v>
      </c>
    </row>
    <row r="462" spans="1:50" x14ac:dyDescent="0.25">
      <c r="A462" s="9">
        <v>25923</v>
      </c>
      <c r="B462" s="10" t="s">
        <v>22</v>
      </c>
      <c r="C462" s="10" t="s">
        <v>793</v>
      </c>
      <c r="D462" s="10" t="s">
        <v>1069</v>
      </c>
      <c r="E462" s="10" t="s">
        <v>1211</v>
      </c>
      <c r="F462" s="10">
        <v>34.637377000000001</v>
      </c>
      <c r="G462" s="10">
        <v>43.667541999999997</v>
      </c>
      <c r="H462" s="10" t="s">
        <v>736</v>
      </c>
      <c r="I462" s="10" t="s">
        <v>796</v>
      </c>
      <c r="J462" s="10"/>
      <c r="K462" s="11">
        <v>2235</v>
      </c>
      <c r="L462" s="11">
        <v>13410</v>
      </c>
      <c r="M462" s="11"/>
      <c r="N462" s="11"/>
      <c r="O462" s="11">
        <v>151</v>
      </c>
      <c r="P462" s="11"/>
      <c r="Q462" s="11">
        <v>100</v>
      </c>
      <c r="R462" s="11"/>
      <c r="S462" s="11">
        <v>503</v>
      </c>
      <c r="T462" s="11"/>
      <c r="U462" s="11">
        <v>1005</v>
      </c>
      <c r="V462" s="11"/>
      <c r="W462" s="11"/>
      <c r="X462" s="11"/>
      <c r="Y462" s="11"/>
      <c r="Z462" s="11"/>
      <c r="AA462" s="11">
        <v>176</v>
      </c>
      <c r="AB462" s="11">
        <v>300</v>
      </c>
      <c r="AC462" s="11"/>
      <c r="AD462" s="11"/>
      <c r="AE462" s="11"/>
      <c r="AF462" s="11">
        <v>1915</v>
      </c>
      <c r="AG462" s="11"/>
      <c r="AH462" s="11"/>
      <c r="AI462" s="11"/>
      <c r="AJ462" s="11"/>
      <c r="AK462" s="11"/>
      <c r="AL462" s="11">
        <v>320</v>
      </c>
      <c r="AM462" s="11"/>
      <c r="AN462" s="11"/>
      <c r="AO462" s="11"/>
      <c r="AP462" s="11"/>
      <c r="AQ462" s="11">
        <v>1000</v>
      </c>
      <c r="AR462" s="11">
        <v>600</v>
      </c>
      <c r="AS462" s="11">
        <v>634</v>
      </c>
      <c r="AT462" s="11">
        <v>1</v>
      </c>
      <c r="AU462" s="11"/>
      <c r="AV462" s="20" t="str">
        <f>HYPERLINK("http://www.openstreetmap.org/?mlat=34.6374&amp;mlon=43.6675&amp;zoom=12#map=12/34.6374/43.6675","Maplink1")</f>
        <v>Maplink1</v>
      </c>
      <c r="AW462" s="20" t="str">
        <f>HYPERLINK("https://www.google.iq/maps/search/+34.6374,43.6675/@34.6374,43.6675,14z?hl=en","Maplink2")</f>
        <v>Maplink2</v>
      </c>
      <c r="AX462" s="20" t="str">
        <f>HYPERLINK("http://www.bing.com/maps/?lvl=14&amp;sty=h&amp;cp=34.6374~43.6675&amp;sp=point.34.6374_43.6675_Qdisiyah2-mahalla 216","Maplink3")</f>
        <v>Maplink3</v>
      </c>
    </row>
    <row r="463" spans="1:50" x14ac:dyDescent="0.25">
      <c r="A463" s="9">
        <v>22180</v>
      </c>
      <c r="B463" s="10" t="s">
        <v>22</v>
      </c>
      <c r="C463" s="10" t="s">
        <v>793</v>
      </c>
      <c r="D463" s="10" t="s">
        <v>874</v>
      </c>
      <c r="E463" s="10" t="s">
        <v>875</v>
      </c>
      <c r="F463" s="10">
        <v>34.610286000000002</v>
      </c>
      <c r="G463" s="10">
        <v>43.71105</v>
      </c>
      <c r="H463" s="10" t="s">
        <v>736</v>
      </c>
      <c r="I463" s="10" t="s">
        <v>796</v>
      </c>
      <c r="J463" s="10" t="s">
        <v>876</v>
      </c>
      <c r="K463" s="11">
        <v>1481</v>
      </c>
      <c r="L463" s="11">
        <v>8886</v>
      </c>
      <c r="M463" s="11"/>
      <c r="N463" s="11"/>
      <c r="O463" s="11">
        <v>4</v>
      </c>
      <c r="P463" s="11"/>
      <c r="Q463" s="11"/>
      <c r="R463" s="11"/>
      <c r="S463" s="11">
        <v>307</v>
      </c>
      <c r="T463" s="11"/>
      <c r="U463" s="11">
        <v>1152</v>
      </c>
      <c r="V463" s="11"/>
      <c r="W463" s="11"/>
      <c r="X463" s="11"/>
      <c r="Y463" s="11"/>
      <c r="Z463" s="11"/>
      <c r="AA463" s="11">
        <v>10</v>
      </c>
      <c r="AB463" s="11">
        <v>8</v>
      </c>
      <c r="AC463" s="11"/>
      <c r="AD463" s="11"/>
      <c r="AE463" s="11"/>
      <c r="AF463" s="11">
        <v>1481</v>
      </c>
      <c r="AG463" s="11"/>
      <c r="AH463" s="11"/>
      <c r="AI463" s="11"/>
      <c r="AJ463" s="11"/>
      <c r="AK463" s="11"/>
      <c r="AL463" s="11"/>
      <c r="AM463" s="11"/>
      <c r="AN463" s="11"/>
      <c r="AO463" s="11"/>
      <c r="AP463" s="11">
        <v>53</v>
      </c>
      <c r="AQ463" s="11">
        <v>83</v>
      </c>
      <c r="AR463" s="11">
        <v>162</v>
      </c>
      <c r="AS463" s="11">
        <v>1183</v>
      </c>
      <c r="AT463" s="11"/>
      <c r="AU463" s="11"/>
      <c r="AV463" s="20" t="str">
        <f>HYPERLINK("http://www.openstreetmap.org/?mlat=34.6103&amp;mlon=43.7111&amp;zoom=12#map=12/34.6103/43.7111","Maplink1")</f>
        <v>Maplink1</v>
      </c>
      <c r="AW463" s="20" t="str">
        <f>HYPERLINK("https://www.google.iq/maps/search/+34.6103,43.7111/@34.6103,43.7111,14z?hl=en","Maplink2")</f>
        <v>Maplink2</v>
      </c>
      <c r="AX463" s="20" t="str">
        <f>HYPERLINK("http://www.bing.com/maps/?lvl=14&amp;sty=h&amp;cp=34.6103~43.7111&amp;sp=point.34.6103_43.7111_Sadayrat Abo Ajeel","Maplink3")</f>
        <v>Maplink3</v>
      </c>
    </row>
    <row r="464" spans="1:50" x14ac:dyDescent="0.25">
      <c r="A464" s="9">
        <v>20612</v>
      </c>
      <c r="B464" s="10" t="s">
        <v>22</v>
      </c>
      <c r="C464" s="10" t="s">
        <v>793</v>
      </c>
      <c r="D464" s="10" t="s">
        <v>877</v>
      </c>
      <c r="E464" s="10" t="s">
        <v>878</v>
      </c>
      <c r="F464" s="10">
        <v>34.755299999999998</v>
      </c>
      <c r="G464" s="10">
        <v>43.664400000000001</v>
      </c>
      <c r="H464" s="10" t="s">
        <v>736</v>
      </c>
      <c r="I464" s="10" t="s">
        <v>796</v>
      </c>
      <c r="J464" s="10" t="s">
        <v>879</v>
      </c>
      <c r="K464" s="11">
        <v>110</v>
      </c>
      <c r="L464" s="11">
        <v>660</v>
      </c>
      <c r="M464" s="11"/>
      <c r="N464" s="11"/>
      <c r="O464" s="11"/>
      <c r="P464" s="11"/>
      <c r="Q464" s="11"/>
      <c r="R464" s="11"/>
      <c r="S464" s="11"/>
      <c r="T464" s="11"/>
      <c r="U464" s="11">
        <v>110</v>
      </c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>
        <v>100</v>
      </c>
      <c r="AG464" s="11">
        <v>5</v>
      </c>
      <c r="AH464" s="11"/>
      <c r="AI464" s="11"/>
      <c r="AJ464" s="11"/>
      <c r="AK464" s="11"/>
      <c r="AL464" s="11">
        <v>5</v>
      </c>
      <c r="AM464" s="11"/>
      <c r="AN464" s="11"/>
      <c r="AO464" s="11"/>
      <c r="AP464" s="11"/>
      <c r="AQ464" s="11">
        <v>10</v>
      </c>
      <c r="AR464" s="11"/>
      <c r="AS464" s="11">
        <v>100</v>
      </c>
      <c r="AT464" s="11"/>
      <c r="AU464" s="11"/>
      <c r="AV464" s="20" t="str">
        <f>HYPERLINK("http://www.openstreetmap.org/?mlat=34.7553&amp;mlon=43.6644&amp;zoom=12#map=12/34.7553/43.6644","Maplink1")</f>
        <v>Maplink1</v>
      </c>
      <c r="AW464" s="20" t="str">
        <f>HYPERLINK("https://www.google.iq/maps/search/+34.7553,43.6644/@34.7553,43.6644,14z?hl=en","Maplink2")</f>
        <v>Maplink2</v>
      </c>
      <c r="AX464" s="20" t="str">
        <f>HYPERLINK("http://www.bing.com/maps/?lvl=14&amp;sty=h&amp;cp=34.7553~43.6644&amp;sp=point.34.7553_43.6644_Samrah Village","Maplink3")</f>
        <v>Maplink3</v>
      </c>
    </row>
    <row r="465" spans="1:50" x14ac:dyDescent="0.25">
      <c r="A465" s="9">
        <v>25950</v>
      </c>
      <c r="B465" s="10" t="s">
        <v>22</v>
      </c>
      <c r="C465" s="10" t="s">
        <v>793</v>
      </c>
      <c r="D465" s="10" t="s">
        <v>1070</v>
      </c>
      <c r="E465" s="10" t="s">
        <v>1212</v>
      </c>
      <c r="F465" s="10">
        <v>34.817276999999997</v>
      </c>
      <c r="G465" s="10">
        <v>43.576624000000002</v>
      </c>
      <c r="H465" s="10" t="s">
        <v>736</v>
      </c>
      <c r="I465" s="10" t="s">
        <v>796</v>
      </c>
      <c r="J465" s="10"/>
      <c r="K465" s="11">
        <v>530</v>
      </c>
      <c r="L465" s="11">
        <v>3180</v>
      </c>
      <c r="M465" s="11"/>
      <c r="N465" s="11"/>
      <c r="O465" s="11"/>
      <c r="P465" s="11"/>
      <c r="Q465" s="11"/>
      <c r="R465" s="11"/>
      <c r="S465" s="11"/>
      <c r="T465" s="11"/>
      <c r="U465" s="11">
        <v>265</v>
      </c>
      <c r="V465" s="11"/>
      <c r="W465" s="11"/>
      <c r="X465" s="11"/>
      <c r="Y465" s="11"/>
      <c r="Z465" s="11"/>
      <c r="AA465" s="11">
        <v>265</v>
      </c>
      <c r="AB465" s="11"/>
      <c r="AC465" s="11"/>
      <c r="AD465" s="11"/>
      <c r="AE465" s="11"/>
      <c r="AF465" s="11">
        <v>500</v>
      </c>
      <c r="AG465" s="11"/>
      <c r="AH465" s="11"/>
      <c r="AI465" s="11">
        <v>30</v>
      </c>
      <c r="AJ465" s="11"/>
      <c r="AK465" s="11"/>
      <c r="AL465" s="11"/>
      <c r="AM465" s="11"/>
      <c r="AN465" s="11"/>
      <c r="AO465" s="11"/>
      <c r="AP465" s="11"/>
      <c r="AQ465" s="11">
        <v>100</v>
      </c>
      <c r="AR465" s="11">
        <v>200</v>
      </c>
      <c r="AS465" s="11">
        <v>230</v>
      </c>
      <c r="AT465" s="11"/>
      <c r="AU465" s="11"/>
      <c r="AV465" s="20" t="str">
        <f>HYPERLINK("http://www.openstreetmap.org/?mlat=34.8173&amp;mlon=43.5766&amp;zoom=12#map=12/34.8173/43.5766","Maplink1")</f>
        <v>Maplink1</v>
      </c>
      <c r="AW465" s="20" t="str">
        <f>HYPERLINK("https://www.google.iq/maps/search/+34.8173,43.5766/@34.8173,43.5766,14z?hl=en","Maplink2")</f>
        <v>Maplink2</v>
      </c>
      <c r="AX465" s="20" t="str">
        <f>HYPERLINK("http://www.bing.com/maps/?lvl=14&amp;sty=h&amp;cp=34.8173~43.5766&amp;sp=point.34.8173_43.5766_Tal sibaat village","Maplink3")</f>
        <v>Maplink3</v>
      </c>
    </row>
    <row r="466" spans="1:50" x14ac:dyDescent="0.25">
      <c r="A466" s="9">
        <v>20666</v>
      </c>
      <c r="B466" s="10" t="s">
        <v>22</v>
      </c>
      <c r="C466" s="10" t="s">
        <v>793</v>
      </c>
      <c r="D466" s="10" t="s">
        <v>880</v>
      </c>
      <c r="E466" s="10" t="s">
        <v>881</v>
      </c>
      <c r="F466" s="10">
        <v>34.475397999999998</v>
      </c>
      <c r="G466" s="10">
        <v>43.728644000000003</v>
      </c>
      <c r="H466" s="10" t="s">
        <v>736</v>
      </c>
      <c r="I466" s="10" t="s">
        <v>796</v>
      </c>
      <c r="J466" s="10" t="s">
        <v>882</v>
      </c>
      <c r="K466" s="11">
        <v>615</v>
      </c>
      <c r="L466" s="11">
        <v>3690</v>
      </c>
      <c r="M466" s="11"/>
      <c r="N466" s="11"/>
      <c r="O466" s="11">
        <v>13</v>
      </c>
      <c r="P466" s="11"/>
      <c r="Q466" s="11"/>
      <c r="R466" s="11"/>
      <c r="S466" s="11">
        <v>96</v>
      </c>
      <c r="T466" s="11"/>
      <c r="U466" s="11">
        <v>326</v>
      </c>
      <c r="V466" s="11"/>
      <c r="W466" s="11"/>
      <c r="X466" s="11"/>
      <c r="Y466" s="11"/>
      <c r="Z466" s="11"/>
      <c r="AA466" s="11">
        <v>108</v>
      </c>
      <c r="AB466" s="11">
        <v>72</v>
      </c>
      <c r="AC466" s="11"/>
      <c r="AD466" s="11"/>
      <c r="AE466" s="11"/>
      <c r="AF466" s="11">
        <v>327</v>
      </c>
      <c r="AG466" s="11"/>
      <c r="AH466" s="11">
        <v>288</v>
      </c>
      <c r="AI466" s="11"/>
      <c r="AJ466" s="11"/>
      <c r="AK466" s="11"/>
      <c r="AL466" s="11"/>
      <c r="AM466" s="11"/>
      <c r="AN466" s="11"/>
      <c r="AO466" s="11"/>
      <c r="AP466" s="11"/>
      <c r="AQ466" s="11">
        <v>576</v>
      </c>
      <c r="AR466" s="11">
        <v>39</v>
      </c>
      <c r="AS466" s="11"/>
      <c r="AT466" s="11"/>
      <c r="AU466" s="11"/>
      <c r="AV466" s="20" t="str">
        <f>HYPERLINK("http://www.openstreetmap.org/?mlat=34.4754&amp;mlon=43.7286&amp;zoom=12#map=12/34.4754/43.7286","Maplink1")</f>
        <v>Maplink1</v>
      </c>
      <c r="AW466" s="20" t="str">
        <f>HYPERLINK("https://www.google.iq/maps/search/+34.4754,43.7286/@34.4754,43.7286,14z?hl=en","Maplink2")</f>
        <v>Maplink2</v>
      </c>
      <c r="AX466" s="20" t="str">
        <f>HYPERLINK("http://www.bing.com/maps/?lvl=14&amp;sty=h&amp;cp=34.4754~43.7286&amp;sp=point.34.4754_43.7286_Uwainat","Maplink3")</f>
        <v>Maplink3</v>
      </c>
    </row>
    <row r="467" spans="1:50" x14ac:dyDescent="0.25">
      <c r="A467" s="9">
        <v>20425</v>
      </c>
      <c r="B467" s="10" t="s">
        <v>22</v>
      </c>
      <c r="C467" s="10" t="s">
        <v>883</v>
      </c>
      <c r="D467" s="10" t="s">
        <v>884</v>
      </c>
      <c r="E467" s="10" t="s">
        <v>885</v>
      </c>
      <c r="F467" s="10">
        <v>34.796410000000002</v>
      </c>
      <c r="G467" s="10">
        <v>44.584961999999997</v>
      </c>
      <c r="H467" s="10" t="s">
        <v>736</v>
      </c>
      <c r="I467" s="10" t="s">
        <v>886</v>
      </c>
      <c r="J467" s="10" t="s">
        <v>887</v>
      </c>
      <c r="K467" s="11">
        <v>351</v>
      </c>
      <c r="L467" s="11">
        <v>2106</v>
      </c>
      <c r="M467" s="11"/>
      <c r="N467" s="11"/>
      <c r="O467" s="11">
        <v>21</v>
      </c>
      <c r="P467" s="11"/>
      <c r="Q467" s="11"/>
      <c r="R467" s="11"/>
      <c r="S467" s="11"/>
      <c r="T467" s="11">
        <v>130</v>
      </c>
      <c r="U467" s="11">
        <v>100</v>
      </c>
      <c r="V467" s="11"/>
      <c r="W467" s="11"/>
      <c r="X467" s="11">
        <v>40</v>
      </c>
      <c r="Y467" s="11"/>
      <c r="Z467" s="11"/>
      <c r="AA467" s="11">
        <v>60</v>
      </c>
      <c r="AB467" s="11"/>
      <c r="AC467" s="11"/>
      <c r="AD467" s="11"/>
      <c r="AE467" s="11"/>
      <c r="AF467" s="11">
        <v>330</v>
      </c>
      <c r="AG467" s="11">
        <v>21</v>
      </c>
      <c r="AH467" s="11"/>
      <c r="AI467" s="11"/>
      <c r="AJ467" s="11"/>
      <c r="AK467" s="11"/>
      <c r="AL467" s="11"/>
      <c r="AM467" s="11"/>
      <c r="AN467" s="11"/>
      <c r="AO467" s="11"/>
      <c r="AP467" s="11">
        <v>300</v>
      </c>
      <c r="AQ467" s="11">
        <v>51</v>
      </c>
      <c r="AR467" s="11"/>
      <c r="AS467" s="11"/>
      <c r="AT467" s="11"/>
      <c r="AU467" s="11"/>
      <c r="AV467" s="20" t="str">
        <f>HYPERLINK("http://www.openstreetmap.org/?mlat=34.7964&amp;mlon=44.585&amp;zoom=12#map=12/34.7964/44.585","Maplink1")</f>
        <v>Maplink1</v>
      </c>
      <c r="AW467" s="20" t="str">
        <f>HYPERLINK("https://www.google.iq/maps/search/+34.7964,44.585/@34.7964,44.585,14z?hl=en","Maplink2")</f>
        <v>Maplink2</v>
      </c>
      <c r="AX467" s="20" t="str">
        <f>HYPERLINK("http://www.bing.com/maps/?lvl=14&amp;sty=h&amp;cp=34.7964~44.585&amp;sp=point.34.7964_44.585_Brawchili village","Maplink3")</f>
        <v>Maplink3</v>
      </c>
    </row>
    <row r="468" spans="1:50" x14ac:dyDescent="0.25">
      <c r="A468" s="9">
        <v>20484</v>
      </c>
      <c r="B468" s="10" t="s">
        <v>22</v>
      </c>
      <c r="C468" s="10" t="s">
        <v>883</v>
      </c>
      <c r="D468" s="10" t="s">
        <v>888</v>
      </c>
      <c r="E468" s="10" t="s">
        <v>889</v>
      </c>
      <c r="F468" s="10">
        <v>34.818984</v>
      </c>
      <c r="G468" s="10">
        <v>44.557499</v>
      </c>
      <c r="H468" s="10" t="s">
        <v>736</v>
      </c>
      <c r="I468" s="10" t="s">
        <v>886</v>
      </c>
      <c r="J468" s="10" t="s">
        <v>890</v>
      </c>
      <c r="K468" s="11">
        <v>328</v>
      </c>
      <c r="L468" s="11">
        <v>1968</v>
      </c>
      <c r="M468" s="11"/>
      <c r="N468" s="11"/>
      <c r="O468" s="11">
        <v>15</v>
      </c>
      <c r="P468" s="11"/>
      <c r="Q468" s="11"/>
      <c r="R468" s="11"/>
      <c r="S468" s="11"/>
      <c r="T468" s="11">
        <v>50</v>
      </c>
      <c r="U468" s="11">
        <v>35</v>
      </c>
      <c r="V468" s="11"/>
      <c r="W468" s="11"/>
      <c r="X468" s="11">
        <v>35</v>
      </c>
      <c r="Y468" s="11"/>
      <c r="Z468" s="11"/>
      <c r="AA468" s="11">
        <v>193</v>
      </c>
      <c r="AB468" s="11"/>
      <c r="AC468" s="11"/>
      <c r="AD468" s="11"/>
      <c r="AE468" s="11"/>
      <c r="AF468" s="11">
        <v>300</v>
      </c>
      <c r="AG468" s="11">
        <v>28</v>
      </c>
      <c r="AH468" s="11"/>
      <c r="AI468" s="11"/>
      <c r="AJ468" s="11"/>
      <c r="AK468" s="11"/>
      <c r="AL468" s="11"/>
      <c r="AM468" s="11"/>
      <c r="AN468" s="11"/>
      <c r="AO468" s="11"/>
      <c r="AP468" s="11">
        <v>298</v>
      </c>
      <c r="AQ468" s="11">
        <v>30</v>
      </c>
      <c r="AR468" s="11"/>
      <c r="AS468" s="11"/>
      <c r="AT468" s="11"/>
      <c r="AU468" s="11"/>
      <c r="AV468" s="20" t="str">
        <f>HYPERLINK("http://www.openstreetmap.org/?mlat=34.819&amp;mlon=44.5575&amp;zoom=12#map=12/34.819/44.5575","Maplink1")</f>
        <v>Maplink1</v>
      </c>
      <c r="AW468" s="20" t="str">
        <f>HYPERLINK("https://www.google.iq/maps/search/+34.819,44.5575/@34.819,44.5575,14z?hl=en","Maplink2")</f>
        <v>Maplink2</v>
      </c>
      <c r="AX468" s="20" t="str">
        <f>HYPERLINK("http://www.bing.com/maps/?lvl=14&amp;sty=h&amp;cp=34.819~44.5575&amp;sp=point.34.819_44.5575_Chardaghli village","Maplink3")</f>
        <v>Maplink3</v>
      </c>
    </row>
    <row r="469" spans="1:50" x14ac:dyDescent="0.25">
      <c r="A469" s="9">
        <v>27235</v>
      </c>
      <c r="B469" s="10" t="s">
        <v>22</v>
      </c>
      <c r="C469" s="10" t="s">
        <v>883</v>
      </c>
      <c r="D469" s="10" t="s">
        <v>1071</v>
      </c>
      <c r="E469" s="10" t="s">
        <v>1213</v>
      </c>
      <c r="F469" s="10">
        <v>34.730089</v>
      </c>
      <c r="G469" s="10">
        <v>44.587169000000003</v>
      </c>
      <c r="H469" s="10" t="s">
        <v>736</v>
      </c>
      <c r="I469" s="10" t="s">
        <v>886</v>
      </c>
      <c r="J469" s="10"/>
      <c r="K469" s="11">
        <v>35</v>
      </c>
      <c r="L469" s="11">
        <v>210</v>
      </c>
      <c r="M469" s="11"/>
      <c r="N469" s="11"/>
      <c r="O469" s="11">
        <v>5</v>
      </c>
      <c r="P469" s="11"/>
      <c r="Q469" s="11"/>
      <c r="R469" s="11"/>
      <c r="S469" s="11"/>
      <c r="T469" s="11">
        <v>5</v>
      </c>
      <c r="U469" s="11">
        <v>5</v>
      </c>
      <c r="V469" s="11"/>
      <c r="W469" s="11"/>
      <c r="X469" s="11">
        <v>10</v>
      </c>
      <c r="Y469" s="11"/>
      <c r="Z469" s="11"/>
      <c r="AA469" s="11">
        <v>10</v>
      </c>
      <c r="AB469" s="11"/>
      <c r="AC469" s="11"/>
      <c r="AD469" s="11"/>
      <c r="AE469" s="11"/>
      <c r="AF469" s="11">
        <v>35</v>
      </c>
      <c r="AG469" s="11"/>
      <c r="AH469" s="11"/>
      <c r="AI469" s="11"/>
      <c r="AJ469" s="11"/>
      <c r="AK469" s="11"/>
      <c r="AL469" s="11"/>
      <c r="AM469" s="11"/>
      <c r="AN469" s="11"/>
      <c r="AO469" s="11"/>
      <c r="AP469" s="11">
        <v>35</v>
      </c>
      <c r="AQ469" s="11"/>
      <c r="AR469" s="11"/>
      <c r="AS469" s="11"/>
      <c r="AT469" s="11"/>
      <c r="AU469" s="11"/>
      <c r="AV469" s="20" t="str">
        <f>HYPERLINK("http://www.openstreetmap.org/?mlat=34.7301&amp;mlon=44.5872&amp;zoom=12#map=12/34.7301/44.5872","Maplink1")</f>
        <v>Maplink1</v>
      </c>
      <c r="AW469" s="20" t="str">
        <f>HYPERLINK("https://www.google.iq/maps/search/+34.7301,44.5872/@34.7301,44.5872,14z?hl=en","Maplink2")</f>
        <v>Maplink2</v>
      </c>
      <c r="AX469" s="20" t="str">
        <f>HYPERLINK("http://www.bing.com/maps/?lvl=14&amp;sty=h&amp;cp=34.7301~44.5872&amp;sp=point.34.7301_44.5872_Hay Al-Ahrar/Al-Makrama","Maplink3")</f>
        <v>Maplink3</v>
      </c>
    </row>
    <row r="470" spans="1:50" x14ac:dyDescent="0.25">
      <c r="A470" s="9">
        <v>27238</v>
      </c>
      <c r="B470" s="10" t="s">
        <v>22</v>
      </c>
      <c r="C470" s="10" t="s">
        <v>883</v>
      </c>
      <c r="D470" s="10" t="s">
        <v>891</v>
      </c>
      <c r="E470" s="10" t="s">
        <v>892</v>
      </c>
      <c r="F470" s="10">
        <v>34.727243999999999</v>
      </c>
      <c r="G470" s="10">
        <v>44.581223000000001</v>
      </c>
      <c r="H470" s="10" t="s">
        <v>736</v>
      </c>
      <c r="I470" s="10" t="s">
        <v>886</v>
      </c>
      <c r="J470" s="10"/>
      <c r="K470" s="11">
        <v>25</v>
      </c>
      <c r="L470" s="11">
        <v>150</v>
      </c>
      <c r="M470" s="11"/>
      <c r="N470" s="11"/>
      <c r="O470" s="11">
        <v>5</v>
      </c>
      <c r="P470" s="11"/>
      <c r="Q470" s="11"/>
      <c r="R470" s="11"/>
      <c r="S470" s="11"/>
      <c r="T470" s="11">
        <v>5</v>
      </c>
      <c r="U470" s="11">
        <v>5</v>
      </c>
      <c r="V470" s="11"/>
      <c r="W470" s="11"/>
      <c r="X470" s="11">
        <v>3</v>
      </c>
      <c r="Y470" s="11"/>
      <c r="Z470" s="11"/>
      <c r="AA470" s="11">
        <v>7</v>
      </c>
      <c r="AB470" s="11"/>
      <c r="AC470" s="11"/>
      <c r="AD470" s="11"/>
      <c r="AE470" s="11"/>
      <c r="AF470" s="11">
        <v>25</v>
      </c>
      <c r="AG470" s="11"/>
      <c r="AH470" s="11"/>
      <c r="AI470" s="11"/>
      <c r="AJ470" s="11"/>
      <c r="AK470" s="11"/>
      <c r="AL470" s="11"/>
      <c r="AM470" s="11"/>
      <c r="AN470" s="11"/>
      <c r="AO470" s="11"/>
      <c r="AP470" s="11">
        <v>25</v>
      </c>
      <c r="AQ470" s="11"/>
      <c r="AR470" s="11"/>
      <c r="AS470" s="11"/>
      <c r="AT470" s="11"/>
      <c r="AU470" s="11"/>
      <c r="AV470" s="20" t="str">
        <f>HYPERLINK("http://www.openstreetmap.org/?mlat=34.7272&amp;mlon=44.5812&amp;zoom=12#map=12/34.7272/44.5812","Maplink1")</f>
        <v>Maplink1</v>
      </c>
      <c r="AW470" s="20" t="str">
        <f>HYPERLINK("https://www.google.iq/maps/search/+34.7272,44.5812/@34.7272,44.5812,14z?hl=en","Maplink2")</f>
        <v>Maplink2</v>
      </c>
      <c r="AX470" s="20" t="str">
        <f>HYPERLINK("http://www.bing.com/maps/?lvl=14&amp;sty=h&amp;cp=34.7272~44.5812&amp;sp=point.34.7272_44.5812_Hay Al-Askareen","Maplink3")</f>
        <v>Maplink3</v>
      </c>
    </row>
    <row r="471" spans="1:50" x14ac:dyDescent="0.25">
      <c r="A471" s="9">
        <v>27234</v>
      </c>
      <c r="B471" s="10" t="s">
        <v>22</v>
      </c>
      <c r="C471" s="10" t="s">
        <v>883</v>
      </c>
      <c r="D471" s="10" t="s">
        <v>893</v>
      </c>
      <c r="E471" s="10" t="s">
        <v>657</v>
      </c>
      <c r="F471" s="10">
        <v>34.724294</v>
      </c>
      <c r="G471" s="10">
        <v>44.589588999999997</v>
      </c>
      <c r="H471" s="10" t="s">
        <v>736</v>
      </c>
      <c r="I471" s="10" t="s">
        <v>886</v>
      </c>
      <c r="J471" s="10"/>
      <c r="K471" s="11">
        <v>85</v>
      </c>
      <c r="L471" s="11">
        <v>510</v>
      </c>
      <c r="M471" s="11"/>
      <c r="N471" s="11"/>
      <c r="O471" s="11"/>
      <c r="P471" s="11"/>
      <c r="Q471" s="11"/>
      <c r="R471" s="11"/>
      <c r="S471" s="11"/>
      <c r="T471" s="11">
        <v>15</v>
      </c>
      <c r="U471" s="11">
        <v>30</v>
      </c>
      <c r="V471" s="11"/>
      <c r="W471" s="11"/>
      <c r="X471" s="11">
        <v>10</v>
      </c>
      <c r="Y471" s="11"/>
      <c r="Z471" s="11"/>
      <c r="AA471" s="11">
        <v>30</v>
      </c>
      <c r="AB471" s="11"/>
      <c r="AC471" s="11"/>
      <c r="AD471" s="11"/>
      <c r="AE471" s="11"/>
      <c r="AF471" s="11">
        <v>85</v>
      </c>
      <c r="AG471" s="11"/>
      <c r="AH471" s="11"/>
      <c r="AI471" s="11"/>
      <c r="AJ471" s="11"/>
      <c r="AK471" s="11"/>
      <c r="AL471" s="11"/>
      <c r="AM471" s="11"/>
      <c r="AN471" s="11"/>
      <c r="AO471" s="11"/>
      <c r="AP471" s="11">
        <v>65</v>
      </c>
      <c r="AQ471" s="11">
        <v>20</v>
      </c>
      <c r="AR471" s="11"/>
      <c r="AS471" s="11"/>
      <c r="AT471" s="11"/>
      <c r="AU471" s="11"/>
      <c r="AV471" s="20" t="str">
        <f>HYPERLINK("http://www.openstreetmap.org/?mlat=34.7243&amp;mlon=44.5896&amp;zoom=12#map=12/34.7243/44.5896","Maplink1")</f>
        <v>Maplink1</v>
      </c>
      <c r="AW471" s="20" t="str">
        <f>HYPERLINK("https://www.google.iq/maps/search/+34.7243,44.5896/@34.7243,44.5896,14z?hl=en","Maplink2")</f>
        <v>Maplink2</v>
      </c>
      <c r="AX471" s="20" t="str">
        <f>HYPERLINK("http://www.bing.com/maps/?lvl=14&amp;sty=h&amp;cp=34.7243~44.5896&amp;sp=point.34.7243_44.5896_Hay Al-Askary","Maplink3")</f>
        <v>Maplink3</v>
      </c>
    </row>
    <row r="472" spans="1:50" x14ac:dyDescent="0.25">
      <c r="A472" s="9">
        <v>27236</v>
      </c>
      <c r="B472" s="10" t="s">
        <v>22</v>
      </c>
      <c r="C472" s="10" t="s">
        <v>883</v>
      </c>
      <c r="D472" s="10" t="s">
        <v>894</v>
      </c>
      <c r="E472" s="10" t="s">
        <v>592</v>
      </c>
      <c r="F472" s="10">
        <v>34.729280000000003</v>
      </c>
      <c r="G472" s="10">
        <v>44.583437000000004</v>
      </c>
      <c r="H472" s="10" t="s">
        <v>736</v>
      </c>
      <c r="I472" s="10" t="s">
        <v>886</v>
      </c>
      <c r="J472" s="10"/>
      <c r="K472" s="11">
        <v>45</v>
      </c>
      <c r="L472" s="11">
        <v>270</v>
      </c>
      <c r="M472" s="11"/>
      <c r="N472" s="11"/>
      <c r="O472" s="11"/>
      <c r="P472" s="11"/>
      <c r="Q472" s="11"/>
      <c r="R472" s="11"/>
      <c r="S472" s="11"/>
      <c r="T472" s="11">
        <v>10</v>
      </c>
      <c r="U472" s="11">
        <v>10</v>
      </c>
      <c r="V472" s="11"/>
      <c r="W472" s="11"/>
      <c r="X472" s="11">
        <v>5</v>
      </c>
      <c r="Y472" s="11"/>
      <c r="Z472" s="11"/>
      <c r="AA472" s="11">
        <v>20</v>
      </c>
      <c r="AB472" s="11"/>
      <c r="AC472" s="11"/>
      <c r="AD472" s="11"/>
      <c r="AE472" s="11"/>
      <c r="AF472" s="11">
        <v>45</v>
      </c>
      <c r="AG472" s="11"/>
      <c r="AH472" s="11"/>
      <c r="AI472" s="11"/>
      <c r="AJ472" s="11"/>
      <c r="AK472" s="11"/>
      <c r="AL472" s="11"/>
      <c r="AM472" s="11"/>
      <c r="AN472" s="11"/>
      <c r="AO472" s="11"/>
      <c r="AP472" s="11">
        <v>45</v>
      </c>
      <c r="AQ472" s="11"/>
      <c r="AR472" s="11"/>
      <c r="AS472" s="11"/>
      <c r="AT472" s="11"/>
      <c r="AU472" s="11"/>
      <c r="AV472" s="20" t="str">
        <f>HYPERLINK("http://www.openstreetmap.org/?mlat=34.7293&amp;mlon=44.5834&amp;zoom=12#map=12/34.7293/44.5834","Maplink1")</f>
        <v>Maplink1</v>
      </c>
      <c r="AW472" s="20" t="str">
        <f>HYPERLINK("https://www.google.iq/maps/search/+34.7293,44.5834/@34.7293,44.5834,14z?hl=en","Maplink2")</f>
        <v>Maplink2</v>
      </c>
      <c r="AX472" s="20" t="str">
        <f>HYPERLINK("http://www.bing.com/maps/?lvl=14&amp;sty=h&amp;cp=34.7293~44.5834&amp;sp=point.34.7293_44.5834_Hay Al-Nasr","Maplink3")</f>
        <v>Maplink3</v>
      </c>
    </row>
    <row r="473" spans="1:50" x14ac:dyDescent="0.25">
      <c r="A473" s="9">
        <v>27237</v>
      </c>
      <c r="B473" s="10" t="s">
        <v>22</v>
      </c>
      <c r="C473" s="10" t="s">
        <v>883</v>
      </c>
      <c r="D473" s="10" t="s">
        <v>1072</v>
      </c>
      <c r="E473" s="10" t="s">
        <v>372</v>
      </c>
      <c r="F473" s="10">
        <v>34.728448999999998</v>
      </c>
      <c r="G473" s="10">
        <v>44.585357999999999</v>
      </c>
      <c r="H473" s="10" t="s">
        <v>736</v>
      </c>
      <c r="I473" s="10" t="s">
        <v>886</v>
      </c>
      <c r="J473" s="10"/>
      <c r="K473" s="11">
        <v>40</v>
      </c>
      <c r="L473" s="11">
        <v>240</v>
      </c>
      <c r="M473" s="11"/>
      <c r="N473" s="11"/>
      <c r="O473" s="11"/>
      <c r="P473" s="11"/>
      <c r="Q473" s="11"/>
      <c r="R473" s="11"/>
      <c r="S473" s="11"/>
      <c r="T473" s="11">
        <v>10</v>
      </c>
      <c r="U473" s="11">
        <v>15</v>
      </c>
      <c r="V473" s="11"/>
      <c r="W473" s="11"/>
      <c r="X473" s="11">
        <v>5</v>
      </c>
      <c r="Y473" s="11"/>
      <c r="Z473" s="11"/>
      <c r="AA473" s="11">
        <v>10</v>
      </c>
      <c r="AB473" s="11"/>
      <c r="AC473" s="11"/>
      <c r="AD473" s="11"/>
      <c r="AE473" s="11"/>
      <c r="AF473" s="11">
        <v>40</v>
      </c>
      <c r="AG473" s="11"/>
      <c r="AH473" s="11"/>
      <c r="AI473" s="11"/>
      <c r="AJ473" s="11"/>
      <c r="AK473" s="11"/>
      <c r="AL473" s="11"/>
      <c r="AM473" s="11"/>
      <c r="AN473" s="11"/>
      <c r="AO473" s="11"/>
      <c r="AP473" s="11">
        <v>35</v>
      </c>
      <c r="AQ473" s="11">
        <v>5</v>
      </c>
      <c r="AR473" s="11"/>
      <c r="AS473" s="11"/>
      <c r="AT473" s="11"/>
      <c r="AU473" s="11"/>
      <c r="AV473" s="20" t="str">
        <f>HYPERLINK("http://www.openstreetmap.org/?mlat=34.7284&amp;mlon=44.5854&amp;zoom=12#map=12/34.7284/44.5854","Maplink1")</f>
        <v>Maplink1</v>
      </c>
      <c r="AW473" s="20" t="str">
        <f>HYPERLINK("https://www.google.iq/maps/search/+34.7284,44.5854/@34.7284,44.5854,14z?hl=en","Maplink2")</f>
        <v>Maplink2</v>
      </c>
      <c r="AX473" s="20" t="str">
        <f>HYPERLINK("http://www.bing.com/maps/?lvl=14&amp;sty=h&amp;cp=34.7284~44.5854&amp;sp=point.34.7284_44.5854_Hay Al-Shohadaa'","Maplink3")</f>
        <v>Maplink3</v>
      </c>
    </row>
    <row r="474" spans="1:50" x14ac:dyDescent="0.25">
      <c r="A474" s="9">
        <v>27239</v>
      </c>
      <c r="B474" s="10" t="s">
        <v>22</v>
      </c>
      <c r="C474" s="10" t="s">
        <v>883</v>
      </c>
      <c r="D474" s="10" t="s">
        <v>895</v>
      </c>
      <c r="E474" s="10" t="s">
        <v>896</v>
      </c>
      <c r="F474" s="10">
        <v>34.726664</v>
      </c>
      <c r="G474" s="10">
        <v>44.581270000000004</v>
      </c>
      <c r="H474" s="10" t="s">
        <v>736</v>
      </c>
      <c r="I474" s="10" t="s">
        <v>886</v>
      </c>
      <c r="J474" s="10"/>
      <c r="K474" s="11">
        <v>43</v>
      </c>
      <c r="L474" s="11">
        <v>258</v>
      </c>
      <c r="M474" s="11"/>
      <c r="N474" s="11"/>
      <c r="O474" s="11"/>
      <c r="P474" s="11"/>
      <c r="Q474" s="11"/>
      <c r="R474" s="11"/>
      <c r="S474" s="11"/>
      <c r="T474" s="11">
        <v>8</v>
      </c>
      <c r="U474" s="11">
        <v>15</v>
      </c>
      <c r="V474" s="11"/>
      <c r="W474" s="11"/>
      <c r="X474" s="11">
        <v>8</v>
      </c>
      <c r="Y474" s="11"/>
      <c r="Z474" s="11"/>
      <c r="AA474" s="11">
        <v>12</v>
      </c>
      <c r="AB474" s="11"/>
      <c r="AC474" s="11"/>
      <c r="AD474" s="11"/>
      <c r="AE474" s="11"/>
      <c r="AF474" s="11">
        <v>43</v>
      </c>
      <c r="AG474" s="11"/>
      <c r="AH474" s="11"/>
      <c r="AI474" s="11"/>
      <c r="AJ474" s="11"/>
      <c r="AK474" s="11"/>
      <c r="AL474" s="11"/>
      <c r="AM474" s="11"/>
      <c r="AN474" s="11"/>
      <c r="AO474" s="11"/>
      <c r="AP474" s="11">
        <v>43</v>
      </c>
      <c r="AQ474" s="11"/>
      <c r="AR474" s="11"/>
      <c r="AS474" s="11"/>
      <c r="AT474" s="11"/>
      <c r="AU474" s="11"/>
      <c r="AV474" s="20" t="str">
        <f>HYPERLINK("http://www.openstreetmap.org/?mlat=34.7267&amp;mlon=44.5813&amp;zoom=12#map=12/34.7267/44.5813","Maplink1")</f>
        <v>Maplink1</v>
      </c>
      <c r="AW474" s="20" t="str">
        <f>HYPERLINK("https://www.google.iq/maps/search/+34.7267,44.5813/@34.7267,44.5813,14z?hl=en","Maplink2")</f>
        <v>Maplink2</v>
      </c>
      <c r="AX474" s="20" t="str">
        <f>HYPERLINK("http://www.bing.com/maps/?lvl=14&amp;sty=h&amp;cp=34.7267~44.5813&amp;sp=point.34.7267_44.5813_Hay Al-Teen","Maplink3")</f>
        <v>Maplink3</v>
      </c>
    </row>
    <row r="475" spans="1:50" x14ac:dyDescent="0.25">
      <c r="A475" s="9">
        <v>27240</v>
      </c>
      <c r="B475" s="10" t="s">
        <v>22</v>
      </c>
      <c r="C475" s="10" t="s">
        <v>883</v>
      </c>
      <c r="D475" s="10" t="s">
        <v>1073</v>
      </c>
      <c r="E475" s="10" t="s">
        <v>897</v>
      </c>
      <c r="F475" s="10">
        <v>34.72336</v>
      </c>
      <c r="G475" s="10">
        <v>44.584885</v>
      </c>
      <c r="H475" s="10" t="s">
        <v>736</v>
      </c>
      <c r="I475" s="10" t="s">
        <v>886</v>
      </c>
      <c r="J475" s="10"/>
      <c r="K475" s="11">
        <v>20</v>
      </c>
      <c r="L475" s="11">
        <v>120</v>
      </c>
      <c r="M475" s="11"/>
      <c r="N475" s="11"/>
      <c r="O475" s="11"/>
      <c r="P475" s="11"/>
      <c r="Q475" s="11"/>
      <c r="R475" s="11"/>
      <c r="S475" s="11"/>
      <c r="T475" s="11"/>
      <c r="U475" s="11">
        <v>5</v>
      </c>
      <c r="V475" s="11"/>
      <c r="W475" s="11"/>
      <c r="X475" s="11">
        <v>5</v>
      </c>
      <c r="Y475" s="11"/>
      <c r="Z475" s="11"/>
      <c r="AA475" s="11">
        <v>10</v>
      </c>
      <c r="AB475" s="11"/>
      <c r="AC475" s="11"/>
      <c r="AD475" s="11"/>
      <c r="AE475" s="11"/>
      <c r="AF475" s="11">
        <v>20</v>
      </c>
      <c r="AG475" s="11"/>
      <c r="AH475" s="11"/>
      <c r="AI475" s="11"/>
      <c r="AJ475" s="11"/>
      <c r="AK475" s="11"/>
      <c r="AL475" s="11"/>
      <c r="AM475" s="11"/>
      <c r="AN475" s="11"/>
      <c r="AO475" s="11"/>
      <c r="AP475" s="11">
        <v>20</v>
      </c>
      <c r="AQ475" s="11"/>
      <c r="AR475" s="11"/>
      <c r="AS475" s="11"/>
      <c r="AT475" s="11"/>
      <c r="AU475" s="11"/>
      <c r="AV475" s="20" t="str">
        <f>HYPERLINK("http://www.openstreetmap.org/?mlat=34.7234&amp;mlon=44.5849&amp;zoom=12#map=12/34.7234/44.5849","Maplink1")</f>
        <v>Maplink1</v>
      </c>
      <c r="AW475" s="20" t="str">
        <f>HYPERLINK("https://www.google.iq/maps/search/+34.7234,44.5849/@34.7234,44.5849,14z?hl=en","Maplink2")</f>
        <v>Maplink2</v>
      </c>
      <c r="AX475" s="20" t="str">
        <f>HYPERLINK("http://www.bing.com/maps/?lvl=14&amp;sty=h&amp;cp=34.7234~44.5849&amp;sp=point.34.7234_44.5849_Hay Sabaa' Tamoz","Maplink3")</f>
        <v>Maplink3</v>
      </c>
    </row>
    <row r="476" spans="1:50" x14ac:dyDescent="0.25">
      <c r="A476" s="9">
        <v>27241</v>
      </c>
      <c r="B476" s="10" t="s">
        <v>22</v>
      </c>
      <c r="C476" s="10" t="s">
        <v>883</v>
      </c>
      <c r="D476" s="10" t="s">
        <v>898</v>
      </c>
      <c r="E476" s="10" t="s">
        <v>899</v>
      </c>
      <c r="F476" s="10">
        <v>34.722490000000001</v>
      </c>
      <c r="G476" s="10">
        <v>44.485838999999999</v>
      </c>
      <c r="H476" s="10" t="s">
        <v>736</v>
      </c>
      <c r="I476" s="10" t="s">
        <v>886</v>
      </c>
      <c r="J476" s="10"/>
      <c r="K476" s="11">
        <v>30</v>
      </c>
      <c r="L476" s="11">
        <v>180</v>
      </c>
      <c r="M476" s="11"/>
      <c r="N476" s="11"/>
      <c r="O476" s="11"/>
      <c r="P476" s="11"/>
      <c r="Q476" s="11"/>
      <c r="R476" s="11"/>
      <c r="S476" s="11"/>
      <c r="T476" s="11">
        <v>4</v>
      </c>
      <c r="U476" s="11">
        <v>10</v>
      </c>
      <c r="V476" s="11"/>
      <c r="W476" s="11"/>
      <c r="X476" s="11">
        <v>1</v>
      </c>
      <c r="Y476" s="11"/>
      <c r="Z476" s="11"/>
      <c r="AA476" s="11">
        <v>15</v>
      </c>
      <c r="AB476" s="11"/>
      <c r="AC476" s="11"/>
      <c r="AD476" s="11"/>
      <c r="AE476" s="11"/>
      <c r="AF476" s="11">
        <v>30</v>
      </c>
      <c r="AG476" s="11"/>
      <c r="AH476" s="11"/>
      <c r="AI476" s="11"/>
      <c r="AJ476" s="11"/>
      <c r="AK476" s="11"/>
      <c r="AL476" s="11"/>
      <c r="AM476" s="11"/>
      <c r="AN476" s="11"/>
      <c r="AO476" s="11"/>
      <c r="AP476" s="11">
        <v>30</v>
      </c>
      <c r="AQ476" s="11"/>
      <c r="AR476" s="11"/>
      <c r="AS476" s="11"/>
      <c r="AT476" s="11"/>
      <c r="AU476" s="11"/>
      <c r="AV476" s="20" t="str">
        <f>HYPERLINK("http://www.openstreetmap.org/?mlat=34.7225&amp;mlon=44.4858&amp;zoom=12#map=12/34.7225/44.4858","Maplink1")</f>
        <v>Maplink1</v>
      </c>
      <c r="AW476" s="20" t="str">
        <f>HYPERLINK("https://www.google.iq/maps/search/+34.7225,44.4858/@34.7225,44.4858,14z?hl=en","Maplink2")</f>
        <v>Maplink2</v>
      </c>
      <c r="AX476" s="20" t="str">
        <f>HYPERLINK("http://www.bing.com/maps/?lvl=14&amp;sty=h&amp;cp=34.7225~44.4858&amp;sp=point.34.7225_44.4858_Hay Wahid Huzayran","Maplink3")</f>
        <v>Maplink3</v>
      </c>
    </row>
    <row r="477" spans="1:50" x14ac:dyDescent="0.25">
      <c r="A477" s="9">
        <v>27242</v>
      </c>
      <c r="B477" s="10" t="s">
        <v>22</v>
      </c>
      <c r="C477" s="10" t="s">
        <v>883</v>
      </c>
      <c r="D477" s="10" t="s">
        <v>900</v>
      </c>
      <c r="E477" s="10" t="s">
        <v>901</v>
      </c>
      <c r="F477" s="10">
        <v>34.785884000000003</v>
      </c>
      <c r="G477" s="10">
        <v>44.570115999999999</v>
      </c>
      <c r="H477" s="10" t="s">
        <v>736</v>
      </c>
      <c r="I477" s="10" t="s">
        <v>886</v>
      </c>
      <c r="J477" s="10"/>
      <c r="K477" s="11">
        <v>186</v>
      </c>
      <c r="L477" s="11">
        <v>1116</v>
      </c>
      <c r="M477" s="11"/>
      <c r="N477" s="11"/>
      <c r="O477" s="11">
        <v>7</v>
      </c>
      <c r="P477" s="11"/>
      <c r="Q477" s="11"/>
      <c r="R477" s="11"/>
      <c r="S477" s="11"/>
      <c r="T477" s="11">
        <v>10</v>
      </c>
      <c r="U477" s="11">
        <v>20</v>
      </c>
      <c r="V477" s="11"/>
      <c r="W477" s="11"/>
      <c r="X477" s="11">
        <v>20</v>
      </c>
      <c r="Y477" s="11"/>
      <c r="Z477" s="11"/>
      <c r="AA477" s="11">
        <v>129</v>
      </c>
      <c r="AB477" s="11"/>
      <c r="AC477" s="11"/>
      <c r="AD477" s="11"/>
      <c r="AE477" s="11"/>
      <c r="AF477" s="11">
        <v>170</v>
      </c>
      <c r="AG477" s="11">
        <v>16</v>
      </c>
      <c r="AH477" s="11"/>
      <c r="AI477" s="11"/>
      <c r="AJ477" s="11"/>
      <c r="AK477" s="11"/>
      <c r="AL477" s="11"/>
      <c r="AM477" s="11"/>
      <c r="AN477" s="11"/>
      <c r="AO477" s="11"/>
      <c r="AP477" s="11">
        <v>170</v>
      </c>
      <c r="AQ477" s="11">
        <v>16</v>
      </c>
      <c r="AR477" s="11"/>
      <c r="AS477" s="11"/>
      <c r="AT477" s="11"/>
      <c r="AU477" s="11"/>
      <c r="AV477" s="20" t="str">
        <f>HYPERLINK("http://www.openstreetmap.org/?mlat=34.7859&amp;mlon=44.5701&amp;zoom=12#map=12/34.7859/44.5701","Maplink1")</f>
        <v>Maplink1</v>
      </c>
      <c r="AW477" s="20" t="str">
        <f>HYPERLINK("https://www.google.iq/maps/search/+34.7859,44.5701/@34.7859,44.5701,14z?hl=en","Maplink2")</f>
        <v>Maplink2</v>
      </c>
      <c r="AX477" s="20" t="str">
        <f>HYPERLINK("http://www.bing.com/maps/?lvl=14&amp;sty=h&amp;cp=34.7859~44.5701&amp;sp=point.34.7859_44.5701_Qara Naz village","Maplink3")</f>
        <v>Maplink3</v>
      </c>
    </row>
    <row r="478" spans="1:50" s="19" customFormat="1" x14ac:dyDescent="0.25"/>
    <row r="479" spans="1:50" s="19" customFormat="1" x14ac:dyDescent="0.25"/>
  </sheetData>
  <autoFilter ref="A4:AX444"/>
  <mergeCells count="6">
    <mergeCell ref="A1:E1"/>
    <mergeCell ref="M3:AD3"/>
    <mergeCell ref="AE3:AO3"/>
    <mergeCell ref="AV3:AX3"/>
    <mergeCell ref="A3:J3"/>
    <mergeCell ref="AP3:AU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zoomScaleNormal="100" workbookViewId="0">
      <selection activeCell="E8" sqref="E8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46" t="s">
        <v>37</v>
      </c>
      <c r="B1" s="46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56" t="s">
        <v>55</v>
      </c>
      <c r="B2" s="57"/>
      <c r="C2" s="28">
        <f>COUNT('RETURNEE DATASET'!AP:AP)</f>
        <v>42</v>
      </c>
      <c r="D2" s="28">
        <f>SUM('RETURNEE DATASET'!AP:AP)</f>
        <v>9551</v>
      </c>
      <c r="E2" s="28">
        <f t="shared" ref="E2:E7" si="0">D2*6</f>
        <v>57306</v>
      </c>
      <c r="F2" s="30">
        <f t="shared" ref="F2:F7" si="1">E2/$E$8</f>
        <v>6.7229789181008692E-2</v>
      </c>
    </row>
    <row r="3" spans="1:18" x14ac:dyDescent="0.25">
      <c r="A3" s="51" t="s">
        <v>42</v>
      </c>
      <c r="B3" s="52"/>
      <c r="C3" s="2">
        <f>COUNT('RETURNEE DATASET'!AQ:AQ)</f>
        <v>179</v>
      </c>
      <c r="D3" s="2">
        <f>SUM('RETURNEE DATASET'!AQ:AQ)</f>
        <v>45707</v>
      </c>
      <c r="E3" s="2">
        <f t="shared" si="0"/>
        <v>274242</v>
      </c>
      <c r="F3" s="3">
        <f t="shared" si="1"/>
        <v>0.32173300953788758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1" t="s">
        <v>43</v>
      </c>
      <c r="B4" s="52"/>
      <c r="C4" s="2">
        <f>COUNT('RETURNEE DATASET'!AR:AR)</f>
        <v>188</v>
      </c>
      <c r="D4" s="2">
        <f>SUM('RETURNEE DATASET'!AR:AR)</f>
        <v>36980</v>
      </c>
      <c r="E4" s="2">
        <f t="shared" si="0"/>
        <v>221880</v>
      </c>
      <c r="F4" s="3">
        <f t="shared" si="1"/>
        <v>0.26030338225460176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1" t="s">
        <v>44</v>
      </c>
      <c r="B5" s="52"/>
      <c r="C5" s="2">
        <f>COUNT('RETURNEE DATASET'!AS:AS)</f>
        <v>153</v>
      </c>
      <c r="D5" s="2">
        <f>SUM('RETURNEE DATASET'!AS:AS)</f>
        <v>28782</v>
      </c>
      <c r="E5" s="2">
        <f t="shared" si="0"/>
        <v>172692</v>
      </c>
      <c r="F5" s="3">
        <f t="shared" si="1"/>
        <v>0.20259740259740261</v>
      </c>
      <c r="H5" s="8"/>
      <c r="I5" s="12"/>
      <c r="J5" s="13"/>
      <c r="K5" s="8"/>
    </row>
    <row r="6" spans="1:18" x14ac:dyDescent="0.25">
      <c r="A6" s="51" t="s">
        <v>45</v>
      </c>
      <c r="B6" s="52"/>
      <c r="C6" s="2">
        <f>COUNT('RETURNEE DATASET'!AT:AT)</f>
        <v>38</v>
      </c>
      <c r="D6" s="2">
        <f>SUM('RETURNEE DATASET'!AT:AT)</f>
        <v>7454</v>
      </c>
      <c r="E6" s="2">
        <f t="shared" si="0"/>
        <v>44724</v>
      </c>
      <c r="F6" s="3">
        <f t="shared" si="1"/>
        <v>5.2468940273818321E-2</v>
      </c>
      <c r="H6" s="8"/>
      <c r="I6" s="12"/>
      <c r="J6" s="13"/>
      <c r="K6" s="8"/>
    </row>
    <row r="7" spans="1:18" s="19" customFormat="1" x14ac:dyDescent="0.25">
      <c r="A7" s="58" t="s">
        <v>76</v>
      </c>
      <c r="B7" s="59"/>
      <c r="C7" s="2">
        <f>COUNT('RETURNEE DATASET'!AU:AUT)</f>
        <v>33</v>
      </c>
      <c r="D7" s="2">
        <f>SUM('RETURNEE DATASET'!AU:AU)</f>
        <v>13591</v>
      </c>
      <c r="E7" s="2">
        <f t="shared" si="0"/>
        <v>81546</v>
      </c>
      <c r="F7" s="3">
        <f t="shared" si="1"/>
        <v>9.5667476155281039E-2</v>
      </c>
      <c r="J7" s="13"/>
    </row>
    <row r="8" spans="1:18" x14ac:dyDescent="0.25">
      <c r="A8" s="51" t="s">
        <v>0</v>
      </c>
      <c r="B8" s="52"/>
      <c r="C8" s="2"/>
      <c r="D8" s="14">
        <f>SUM(D2:D7)</f>
        <v>142065</v>
      </c>
      <c r="E8" s="14">
        <f>SUM(E2:E7)</f>
        <v>852390</v>
      </c>
      <c r="F8" s="17">
        <f>SUM(F2:F7)</f>
        <v>1</v>
      </c>
      <c r="H8" s="8"/>
      <c r="I8" s="8"/>
      <c r="J8" s="8"/>
      <c r="K8" s="8"/>
    </row>
    <row r="9" spans="1:18" ht="18" customHeight="1" x14ac:dyDescent="0.25"/>
    <row r="10" spans="1:18" ht="15" customHeight="1" x14ac:dyDescent="0.25">
      <c r="A10" s="24" t="s">
        <v>0</v>
      </c>
      <c r="B10" s="53" t="s"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8" ht="25.5" x14ac:dyDescent="0.25">
      <c r="A11" s="25" t="s">
        <v>46</v>
      </c>
      <c r="B11" s="23" t="s">
        <v>26</v>
      </c>
      <c r="C11" s="23" t="s">
        <v>34</v>
      </c>
      <c r="D11" s="23" t="s">
        <v>28</v>
      </c>
      <c r="E11" s="23" t="s">
        <v>33</v>
      </c>
      <c r="F11" s="23" t="s">
        <v>32</v>
      </c>
      <c r="G11" s="23" t="s">
        <v>35</v>
      </c>
      <c r="H11" s="23" t="s">
        <v>30</v>
      </c>
      <c r="I11" s="23" t="s">
        <v>27</v>
      </c>
      <c r="J11" s="23" t="s">
        <v>29</v>
      </c>
      <c r="K11" s="23" t="s">
        <v>31</v>
      </c>
      <c r="L11" s="23" t="s">
        <v>36</v>
      </c>
      <c r="M11" s="23" t="s">
        <v>47</v>
      </c>
    </row>
    <row r="12" spans="1:18" x14ac:dyDescent="0.25">
      <c r="A12" s="1" t="s">
        <v>8</v>
      </c>
      <c r="B12" s="2">
        <f>SUMIF('RETURNEE DATASET'!B:B,A12,'RETURNEE DATASET'!AE:AE)</f>
        <v>0</v>
      </c>
      <c r="C12" s="2">
        <f>SUMIF('RETURNEE DATASET'!B:B,A12,'RETURNEE DATASET'!AF:AF)</f>
        <v>33513</v>
      </c>
      <c r="D12" s="2">
        <f>SUMIF('RETURNEE DATASET'!B:B,A12,'RETURNEE DATASET'!AG:AG)</f>
        <v>0</v>
      </c>
      <c r="E12" s="2">
        <f>SUMIF('RETURNEE DATASET'!B:B,A12,'RETURNEE DATASET'!AH:AH)</f>
        <v>0</v>
      </c>
      <c r="F12" s="2">
        <f>SUMIF('RETURNEE DATASET'!B:B,A12,'RETURNEE DATASET'!AI:AI)</f>
        <v>0</v>
      </c>
      <c r="G12" s="2">
        <f>SUMIF('RETURNEE DATASET'!B:B,A12,'RETURNEE DATASET'!AJ:AJ)</f>
        <v>0</v>
      </c>
      <c r="H12" s="2">
        <f>SUMIF('RETURNEE DATASET'!B:B,A12,'RETURNEE DATASET'!AK:AK)</f>
        <v>0</v>
      </c>
      <c r="I12" s="2">
        <f>SUMIF('RETURNEE DATASET'!B:B,A12,'RETURNEE DATASET'!AL:AL)</f>
        <v>0</v>
      </c>
      <c r="J12" s="2">
        <f>SUMIF('RETURNEE DATASET'!B:B,A12,'RETURNEE DATASET'!AM:AM)</f>
        <v>0</v>
      </c>
      <c r="K12" s="2">
        <f>SUMIF('RETURNEE DATASET'!B:B,A12,'RETURNEE DATASET'!AN:AN)</f>
        <v>0</v>
      </c>
      <c r="L12" s="2">
        <f>SUMIF('RETURNEE DATASET'!B:B,A12,'RETURNEE DATASET'!AO:AO)</f>
        <v>0</v>
      </c>
      <c r="M12" s="2">
        <f>SUM(B12:L12)</f>
        <v>33513</v>
      </c>
    </row>
    <row r="13" spans="1:18" s="19" customFormat="1" x14ac:dyDescent="0.25">
      <c r="A13" s="40" t="s">
        <v>10</v>
      </c>
      <c r="B13" s="2">
        <f>SUMIF('RETURNEE DATASET'!B:B,A13,'RETURNEE DATASET'!AE:AE)</f>
        <v>0</v>
      </c>
      <c r="C13" s="2">
        <f>SUMIF('RETURNEE DATASET'!B:B,A13,'RETURNEE DATASET'!AF:AF)</f>
        <v>5166</v>
      </c>
      <c r="D13" s="2">
        <f>SUMIF('RETURNEE DATASET'!B:B,A13,'RETURNEE DATASET'!AG:AG)</f>
        <v>0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0</v>
      </c>
      <c r="J13" s="2">
        <f>SUMIF('RETURNEE DATASET'!B:B,A13,'RETURNEE DATASET'!AM:AM)</f>
        <v>0</v>
      </c>
      <c r="K13" s="2">
        <f>SUMIF('RETURNEE DATASET'!B:B,A13,'RETURNEE DATASET'!AN:AN)</f>
        <v>0</v>
      </c>
      <c r="L13" s="2">
        <f>SUMIF('RETURNEE DATASET'!B:B,A13,'RETURNEE DATASET'!AO:AO)</f>
        <v>0</v>
      </c>
      <c r="M13" s="2">
        <f>SUM(B13:L13)</f>
        <v>5166</v>
      </c>
    </row>
    <row r="14" spans="1:18" x14ac:dyDescent="0.25">
      <c r="A14" s="1" t="s">
        <v>13</v>
      </c>
      <c r="B14" s="2">
        <f>SUMIF('RETURNEE DATASET'!B:B,A14,'RETURNEE DATASET'!AE:AE)</f>
        <v>0</v>
      </c>
      <c r="C14" s="2">
        <f>SUMIF('RETURNEE DATASET'!B:B,A14,'RETURNEE DATASET'!AF:AF)</f>
        <v>18567</v>
      </c>
      <c r="D14" s="2">
        <f>SUMIF('RETURNEE DATASET'!B:B,A14,'RETURNEE DATASET'!AG:AG)</f>
        <v>1782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140</v>
      </c>
      <c r="J14" s="2">
        <f>SUMIF('RETURNEE DATASET'!B:B,A14,'RETURNEE DATASET'!AM:AM)</f>
        <v>0</v>
      </c>
      <c r="K14" s="2">
        <f>SUMIF('RETURNEE DATASET'!B:B,A14,'RETURNEE DATASET'!AN:AN)</f>
        <v>6562</v>
      </c>
      <c r="L14" s="2">
        <f>SUMIF('RETURNEE DATASET'!B:B,A14,'RETURNEE DATASET'!AO:AO)</f>
        <v>0</v>
      </c>
      <c r="M14" s="2">
        <f t="shared" ref="M14:M18" si="2">SUM(B14:L14)</f>
        <v>27051</v>
      </c>
    </row>
    <row r="15" spans="1:18" x14ac:dyDescent="0.25">
      <c r="A15" s="1" t="s">
        <v>14</v>
      </c>
      <c r="B15" s="2">
        <f>SUMIF('RETURNEE DATASET'!B:B,A15,'RETURNEE DATASET'!AE:AE)</f>
        <v>0</v>
      </c>
      <c r="C15" s="2">
        <f>SUMIF('RETURNEE DATASET'!B:B,A15,'RETURNEE DATASET'!AF:AF)</f>
        <v>2568</v>
      </c>
      <c r="D15" s="2">
        <f>SUMIF('RETURNEE DATASET'!B:B,A15,'RETURNEE DATASET'!AG:AG)</f>
        <v>0</v>
      </c>
      <c r="E15" s="2">
        <f>SUMIF('RETURNEE DATASET'!B:B,A15,'RETURNEE DATASET'!AH:AH)</f>
        <v>0</v>
      </c>
      <c r="F15" s="2">
        <f>SUMIF('RETURNEE DATASET'!B:B,A15,'RETURNEE DATASET'!AI:AI)</f>
        <v>0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0</v>
      </c>
      <c r="J15" s="2">
        <f>SUMIF('RETURNEE DATASET'!B:B,A15,'RETURNEE DATASET'!AM:AM)</f>
        <v>0</v>
      </c>
      <c r="K15" s="2">
        <f>SUMIF('RETURNEE DATASET'!B:B,A15,'RETURNEE DATASET'!AN:AN)</f>
        <v>0</v>
      </c>
      <c r="L15" s="2">
        <f>SUMIF('RETURNEE DATASET'!B:B,A15,'RETURNEE DATASET'!AO:AO)</f>
        <v>0</v>
      </c>
      <c r="M15" s="2">
        <f t="shared" si="2"/>
        <v>2568</v>
      </c>
    </row>
    <row r="16" spans="1:18" x14ac:dyDescent="0.25">
      <c r="A16" s="1" t="s">
        <v>16</v>
      </c>
      <c r="B16" s="2">
        <f>SUMIF('RETURNEE DATASET'!B:B,A16,'RETURNEE DATASET'!AE:AE)</f>
        <v>0</v>
      </c>
      <c r="C16" s="2">
        <f>SUMIF('RETURNEE DATASET'!B:B,A16,'RETURNEE DATASET'!AF:AF)</f>
        <v>0</v>
      </c>
      <c r="D16" s="2">
        <f>SUMIF('RETURNEE DATASET'!B:B,A16,'RETURNEE DATASET'!AG:AG)</f>
        <v>0</v>
      </c>
      <c r="E16" s="2">
        <f>SUMIF('RETURNEE DATASET'!B:B,A16,'RETURNEE DATASET'!AH:AH)</f>
        <v>0</v>
      </c>
      <c r="F16" s="2">
        <f>SUMIF('RETURNEE DATASET'!B:B,A16,'RETURNEE DATASET'!AI:AI)</f>
        <v>398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0</v>
      </c>
      <c r="J16" s="2">
        <f>SUMIF('RETURNEE DATASET'!B:B,A16,'RETURNEE DATASET'!AM:AM)</f>
        <v>0</v>
      </c>
      <c r="K16" s="2">
        <f>SUMIF('RETURNEE DATASET'!B:B,A16,'RETURNEE DATASET'!AN:AN)</f>
        <v>0</v>
      </c>
      <c r="L16" s="2">
        <f>SUMIF('RETURNEE DATASET'!B:B,A16,'RETURNEE DATASET'!AO:AO)</f>
        <v>0</v>
      </c>
      <c r="M16" s="2">
        <f t="shared" si="2"/>
        <v>398</v>
      </c>
    </row>
    <row r="17" spans="1:20" x14ac:dyDescent="0.25">
      <c r="A17" s="1" t="s">
        <v>20</v>
      </c>
      <c r="B17" s="2">
        <f>SUMIF('RETURNEE DATASET'!B:B,A17,'RETURNEE DATASET'!AE:AE)</f>
        <v>0</v>
      </c>
      <c r="C17" s="2">
        <f>SUMIF('RETURNEE DATASET'!B:B,A17,'RETURNEE DATASET'!AF:AF)</f>
        <v>21449</v>
      </c>
      <c r="D17" s="2">
        <f>SUMIF('RETURNEE DATASET'!B:B,A17,'RETURNEE DATASET'!AG:AG)</f>
        <v>477</v>
      </c>
      <c r="E17" s="2">
        <f>SUMIF('RETURNEE DATASET'!B:B,A17,'RETURNEE DATASET'!AH:AH)</f>
        <v>0</v>
      </c>
      <c r="F17" s="2">
        <f>SUMIF('RETURNEE DATASET'!B:B,A17,'RETURNEE DATASET'!AI:AI)</f>
        <v>30</v>
      </c>
      <c r="G17" s="2">
        <f>SUMIF('RETURNEE DATASET'!B:B,A17,'RETURNEE DATASET'!AJ:AJ)</f>
        <v>0</v>
      </c>
      <c r="H17" s="2">
        <f>SUMIF('RETURNEE DATASET'!B:B,A17,'RETURNEE DATASET'!AK:AK)</f>
        <v>0</v>
      </c>
      <c r="I17" s="2">
        <f>SUMIF('RETURNEE DATASET'!B:B,A17,'RETURNEE DATASET'!AL:AL)</f>
        <v>50</v>
      </c>
      <c r="J17" s="2">
        <f>SUMIF('RETURNEE DATASET'!B:B,A17,'RETURNEE DATASET'!AM:AM)</f>
        <v>0</v>
      </c>
      <c r="K17" s="2">
        <f>SUMIF('RETURNEE DATASET'!B:B,A17,'RETURNEE DATASET'!AN:AN)</f>
        <v>55</v>
      </c>
      <c r="L17" s="2">
        <f>SUMIF('RETURNEE DATASET'!B:B,A17,'RETURNEE DATASET'!AO:AO)</f>
        <v>0</v>
      </c>
      <c r="M17" s="2">
        <f t="shared" si="2"/>
        <v>22061</v>
      </c>
    </row>
    <row r="18" spans="1:20" s="15" customFormat="1" x14ac:dyDescent="0.25">
      <c r="A18" s="18" t="s">
        <v>22</v>
      </c>
      <c r="B18" s="2">
        <f>SUMIF('RETURNEE DATASET'!B:B,A18,'RETURNEE DATASET'!AE:AE)</f>
        <v>0</v>
      </c>
      <c r="C18" s="2">
        <f>SUMIF('RETURNEE DATASET'!B:B,A18,'RETURNEE DATASET'!AF:AF)</f>
        <v>47291</v>
      </c>
      <c r="D18" s="2">
        <f>SUMIF('RETURNEE DATASET'!B:B,A18,'RETURNEE DATASET'!AG:AG)</f>
        <v>329</v>
      </c>
      <c r="E18" s="2">
        <f>SUMIF('RETURNEE DATASET'!B:B,A18,'RETURNEE DATASET'!AH:AH)</f>
        <v>288</v>
      </c>
      <c r="F18" s="2">
        <f>SUMIF('RETURNEE DATASET'!B:B,A18,'RETURNEE DATASET'!AI:AI)</f>
        <v>532</v>
      </c>
      <c r="G18" s="2">
        <f>SUMIF('RETURNEE DATASET'!B:B,A18,'RETURNEE DATASET'!AJ:AJ)</f>
        <v>0</v>
      </c>
      <c r="H18" s="2">
        <f>SUMIF('RETURNEE DATASET'!B:B,A18,'RETURNEE DATASET'!AK:AK)</f>
        <v>7</v>
      </c>
      <c r="I18" s="2">
        <f>SUMIF('RETURNEE DATASET'!B:B,A18,'RETURNEE DATASET'!AL:AL)</f>
        <v>2461</v>
      </c>
      <c r="J18" s="2">
        <f>SUMIF('RETURNEE DATASET'!B:B,A18,'RETURNEE DATASET'!AM:AM)</f>
        <v>0</v>
      </c>
      <c r="K18" s="2">
        <f>SUMIF('RETURNEE DATASET'!B:B,A18,'RETURNEE DATASET'!AN:AN)</f>
        <v>0</v>
      </c>
      <c r="L18" s="2">
        <f>SUMIF('RETURNEE DATASET'!B:B,A18,'RETURNEE DATASET'!AO:AO)</f>
        <v>400</v>
      </c>
      <c r="M18" s="2">
        <f t="shared" si="2"/>
        <v>51308</v>
      </c>
    </row>
    <row r="19" spans="1:20" x14ac:dyDescent="0.25">
      <c r="A19" s="4" t="s">
        <v>48</v>
      </c>
      <c r="B19" s="5">
        <f>SUM(B12:B18)</f>
        <v>0</v>
      </c>
      <c r="C19" s="5">
        <f>SUM(C12:C18)</f>
        <v>128554</v>
      </c>
      <c r="D19" s="5">
        <f t="shared" ref="D19:M19" si="3">SUM(D12:D18)</f>
        <v>2588</v>
      </c>
      <c r="E19" s="5">
        <f t="shared" si="3"/>
        <v>288</v>
      </c>
      <c r="F19" s="5">
        <f t="shared" si="3"/>
        <v>960</v>
      </c>
      <c r="G19" s="5">
        <f t="shared" si="3"/>
        <v>0</v>
      </c>
      <c r="H19" s="5">
        <f t="shared" si="3"/>
        <v>7</v>
      </c>
      <c r="I19" s="5">
        <f t="shared" si="3"/>
        <v>2651</v>
      </c>
      <c r="J19" s="5">
        <f t="shared" si="3"/>
        <v>0</v>
      </c>
      <c r="K19" s="5">
        <f t="shared" si="3"/>
        <v>6617</v>
      </c>
      <c r="L19" s="5">
        <f t="shared" si="3"/>
        <v>400</v>
      </c>
      <c r="M19" s="5">
        <f t="shared" si="3"/>
        <v>142065</v>
      </c>
    </row>
    <row r="20" spans="1:20" ht="18" customHeight="1" x14ac:dyDescent="0.25">
      <c r="O20" s="19"/>
      <c r="P20" s="19"/>
      <c r="Q20" s="19"/>
      <c r="R20" s="19"/>
      <c r="S20" s="19"/>
      <c r="T20" s="19"/>
    </row>
    <row r="21" spans="1:20" ht="15" customHeight="1" x14ac:dyDescent="0.25">
      <c r="A21" s="26" t="s">
        <v>0</v>
      </c>
      <c r="B21" s="46" t="s">
        <v>49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9"/>
      <c r="P21" s="19"/>
      <c r="Q21" s="19"/>
      <c r="R21" s="19"/>
      <c r="S21" s="19"/>
      <c r="T21" s="19"/>
    </row>
    <row r="22" spans="1:20" ht="25.5" x14ac:dyDescent="0.25">
      <c r="A22" s="27" t="s">
        <v>46</v>
      </c>
      <c r="B22" s="29" t="s">
        <v>8</v>
      </c>
      <c r="C22" s="29" t="s">
        <v>9</v>
      </c>
      <c r="D22" s="29" t="s">
        <v>10</v>
      </c>
      <c r="E22" s="29" t="s">
        <v>12</v>
      </c>
      <c r="F22" s="29" t="s">
        <v>13</v>
      </c>
      <c r="G22" s="29" t="s">
        <v>14</v>
      </c>
      <c r="H22" s="29" t="s">
        <v>15</v>
      </c>
      <c r="I22" s="29" t="s">
        <v>16</v>
      </c>
      <c r="J22" s="29" t="s">
        <v>19</v>
      </c>
      <c r="K22" s="29" t="s">
        <v>20</v>
      </c>
      <c r="L22" s="29" t="s">
        <v>22</v>
      </c>
      <c r="M22" s="29" t="s">
        <v>23</v>
      </c>
      <c r="N22" s="29" t="s">
        <v>47</v>
      </c>
      <c r="O22" s="19"/>
      <c r="P22" s="19"/>
      <c r="Q22" s="19"/>
      <c r="R22" s="19"/>
      <c r="S22" s="19"/>
      <c r="T22" s="19"/>
    </row>
    <row r="23" spans="1:20" x14ac:dyDescent="0.25">
      <c r="A23" s="1" t="s">
        <v>8</v>
      </c>
      <c r="B23" s="28">
        <f>SUMIF('RETURNEE DATASET'!B:B,A23,'RETURNEE DATASET'!M:M)</f>
        <v>23306</v>
      </c>
      <c r="C23" s="28">
        <f>SUMIF('RETURNEE DATASET'!B:B,A23,'RETURNEE DATASET'!N:N)</f>
        <v>273</v>
      </c>
      <c r="D23" s="28">
        <f>SUMIF('RETURNEE DATASET'!B:B,A23,'RETURNEE DATASET'!O:O)</f>
        <v>3384</v>
      </c>
      <c r="E23" s="28">
        <f>SUMIF('RETURNEE DATASET'!B:B,A23,'RETURNEE DATASET'!Q:Q)</f>
        <v>0</v>
      </c>
      <c r="F23" s="28">
        <f>SUMIF('RETURNEE DATASET'!B:B,A23,'RETURNEE DATASET'!R:R)</f>
        <v>0</v>
      </c>
      <c r="G23" s="28">
        <f>SUMIF('RETURNEE DATASET'!B:B,A23,'RETURNEE DATASET'!S:S)</f>
        <v>3414</v>
      </c>
      <c r="H23" s="28">
        <f>SUMIF('RETURNEE DATASET'!B:B,A23,'RETURNEE DATASET'!T:T)</f>
        <v>0</v>
      </c>
      <c r="I23" s="28">
        <f>SUMIF('RETURNEE DATASET'!B:B,A23,'RETURNEE DATASET'!U:U)</f>
        <v>1466</v>
      </c>
      <c r="J23" s="28">
        <f>SUMIF('RETURNEE DATASET'!B:B,A23,'RETURNEE DATASET'!X:X)</f>
        <v>0</v>
      </c>
      <c r="K23" s="28">
        <f>SUMIF('RETURNEE DATASET'!B:B,A23,'RETURNEE DATASET'!Y:Y)</f>
        <v>0</v>
      </c>
      <c r="L23" s="28">
        <f>SUMIF('RETURNEE DATASET'!B:B,A23,'RETURNEE DATASET'!AA:AA)</f>
        <v>90</v>
      </c>
      <c r="M23" s="28">
        <f>SUMIF('RETURNEE DATASET'!B:B,A23,'RETURNEE DATASET'!AB:AB)</f>
        <v>1580</v>
      </c>
      <c r="N23" s="28">
        <f t="shared" ref="N23:N29" si="4">SUM(B23:M23)</f>
        <v>33513</v>
      </c>
    </row>
    <row r="24" spans="1:20" s="19" customFormat="1" x14ac:dyDescent="0.25">
      <c r="A24" s="40" t="s">
        <v>10</v>
      </c>
      <c r="B24" s="28">
        <f>SUMIF('RETURNEE DATASET'!B:B,A24,'RETURNEE DATASET'!M:M)</f>
        <v>0</v>
      </c>
      <c r="C24" s="28">
        <f>SUMIF('RETURNEE DATASET'!B:B,A24,'RETURNEE DATASET'!N:N)</f>
        <v>192</v>
      </c>
      <c r="D24" s="28">
        <f>SUMIF('RETURNEE DATASET'!B:B,A24,'RETURNEE DATASET'!O:O)</f>
        <v>4470</v>
      </c>
      <c r="E24" s="28">
        <f>SUMIF('RETURNEE DATASET'!B:B,A24,'RETURNEE DATASET'!Q:Q)</f>
        <v>0</v>
      </c>
      <c r="F24" s="28">
        <f>SUMIF('RETURNEE DATASET'!B:B,A24,'RETURNEE DATASET'!R:R)</f>
        <v>0</v>
      </c>
      <c r="G24" s="28">
        <f>SUMIF('RETURNEE DATASET'!B:B,A24,'RETURNEE DATASET'!S:S)</f>
        <v>400</v>
      </c>
      <c r="H24" s="28">
        <f>SUMIF('RETURNEE DATASET'!B:B,A24,'RETURNEE DATASET'!T:T)</f>
        <v>8</v>
      </c>
      <c r="I24" s="28">
        <f>SUMIF('RETURNEE DATASET'!B:B,A24,'RETURNEE DATASET'!U:U)</f>
        <v>0</v>
      </c>
      <c r="J24" s="28">
        <f>SUMIF('RETURNEE DATASET'!B:B,A24,'RETURNEE DATASET'!X:X)</f>
        <v>0</v>
      </c>
      <c r="K24" s="28">
        <f>SUMIF('RETURNEE DATASET'!B:B,A24,'RETURNEE DATASET'!Y:Y)</f>
        <v>0</v>
      </c>
      <c r="L24" s="28">
        <f>SUMIF('RETURNEE DATASET'!B:B,A24,'RETURNEE DATASET'!AA:AA)</f>
        <v>0</v>
      </c>
      <c r="M24" s="28">
        <f>SUMIF('RETURNEE DATASET'!B:B,A24,'RETURNEE DATASET'!AB:AB)</f>
        <v>76</v>
      </c>
      <c r="N24" s="28">
        <f t="shared" ref="N24" si="5">SUM(B24:M24)</f>
        <v>5146</v>
      </c>
    </row>
    <row r="25" spans="1:20" x14ac:dyDescent="0.25">
      <c r="A25" s="1" t="s">
        <v>13</v>
      </c>
      <c r="B25" s="2">
        <f>SUMIF('RETURNEE DATASET'!B:B,A25,'RETURNEE DATASET'!M:M)</f>
        <v>55</v>
      </c>
      <c r="C25" s="2">
        <f>SUMIF('RETURNEE DATASET'!B:B,A25,'RETURNEE DATASET'!N:N)</f>
        <v>0</v>
      </c>
      <c r="D25" s="2">
        <f>SUMIF('RETURNEE DATASET'!B:B,A25,'RETURNEE DATASET'!O:O)</f>
        <v>0</v>
      </c>
      <c r="E25" s="2">
        <f>SUMIF('RETURNEE DATASET'!B:B,A25,'RETURNEE DATASET'!Q:Q)</f>
        <v>113</v>
      </c>
      <c r="F25" s="2">
        <f>SUMIF('RETURNEE DATASET'!B:B,A25,'RETURNEE DATASET'!R:R)</f>
        <v>22177</v>
      </c>
      <c r="G25" s="2">
        <f>SUMIF('RETURNEE DATASET'!B:B,A25,'RETURNEE DATASET'!S:S)</f>
        <v>54</v>
      </c>
      <c r="H25" s="2">
        <f>SUMIF('RETURNEE DATASET'!B:B,A25,'RETURNEE DATASET'!T:T)</f>
        <v>10</v>
      </c>
      <c r="I25" s="2">
        <f>SUMIF('RETURNEE DATASET'!B:B,A25,'RETURNEE DATASET'!U:U)</f>
        <v>3065</v>
      </c>
      <c r="J25" s="2">
        <f>SUMIF('RETURNEE DATASET'!B:B,A25,'RETURNEE DATASET'!X:X)</f>
        <v>0</v>
      </c>
      <c r="K25" s="2">
        <f>SUMIF('RETURNEE DATASET'!B:B,A25,'RETURNEE DATASET'!Y:Y)</f>
        <v>0</v>
      </c>
      <c r="L25" s="2">
        <f>SUMIF('RETURNEE DATASET'!B:B,A25,'RETURNEE DATASET'!AA:AA)</f>
        <v>0</v>
      </c>
      <c r="M25" s="2">
        <f>SUMIF('RETURNEE DATASET'!B:B,A25,'RETURNEE DATASET'!AB:AB)</f>
        <v>1577</v>
      </c>
      <c r="N25" s="2">
        <f t="shared" si="4"/>
        <v>27051</v>
      </c>
    </row>
    <row r="26" spans="1:20" x14ac:dyDescent="0.25">
      <c r="A26" s="1" t="s">
        <v>14</v>
      </c>
      <c r="B26" s="2">
        <f>SUMIF('RETURNEE DATASET'!B:B,A26,'RETURNEE DATASET'!M:M)</f>
        <v>0</v>
      </c>
      <c r="C26" s="2">
        <f>SUMIF('RETURNEE DATASET'!B:B,A26,'RETURNEE DATASET'!N:N)</f>
        <v>0</v>
      </c>
      <c r="D26" s="2">
        <f>SUMIF('RETURNEE DATASET'!B:B,A26,'RETURNEE DATASET'!O:O)</f>
        <v>0</v>
      </c>
      <c r="E26" s="2">
        <f>SUMIF('RETURNEE DATASET'!B:B,A26,'RETURNEE DATASET'!Q:Q)</f>
        <v>0</v>
      </c>
      <c r="F26" s="2">
        <f>SUMIF('RETURNEE DATASET'!B:B,A26,'RETURNEE DATASET'!R:R)</f>
        <v>0</v>
      </c>
      <c r="G26" s="2">
        <f>SUMIF('RETURNEE DATASET'!B:B,A26,'RETURNEE DATASET'!S:S)</f>
        <v>2568</v>
      </c>
      <c r="H26" s="2">
        <f>SUMIF('RETURNEE DATASET'!B:B,A26,'RETURNEE DATASET'!T:T)</f>
        <v>0</v>
      </c>
      <c r="I26" s="2">
        <f>SUMIF('RETURNEE DATASET'!B:B,A26,'RETURNEE DATASET'!U:U)</f>
        <v>0</v>
      </c>
      <c r="J26" s="2">
        <f>SUMIF('RETURNEE DATASET'!B:B,A26,'RETURNEE DATASET'!X:X)</f>
        <v>0</v>
      </c>
      <c r="K26" s="2">
        <f>SUMIF('RETURNEE DATASET'!B:B,A26,'RETURNEE DATASET'!Y:Y)</f>
        <v>0</v>
      </c>
      <c r="L26" s="2">
        <f>SUMIF('RETURNEE DATASET'!B:B,A26,'RETURNEE DATASET'!AA:AA)</f>
        <v>0</v>
      </c>
      <c r="M26" s="2">
        <f>SUMIF('RETURNEE DATASET'!B:B,A26,'RETURNEE DATASET'!AB:AB)</f>
        <v>0</v>
      </c>
      <c r="N26" s="2">
        <f t="shared" si="4"/>
        <v>2568</v>
      </c>
    </row>
    <row r="27" spans="1:20" x14ac:dyDescent="0.25">
      <c r="A27" s="1" t="s">
        <v>16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">
        <f>SUMIF('RETURNEE DATASET'!B:B,A27,'RETURNEE DATASET'!Q:Q)</f>
        <v>0</v>
      </c>
      <c r="F27" s="2">
        <f>SUMIF('RETURNEE DATASET'!B:B,A27,'RETURNEE DATASET'!R:R)</f>
        <v>0</v>
      </c>
      <c r="G27" s="2">
        <f>SUMIF('RETURNEE DATASET'!B:B,A27,'RETURNEE DATASET'!S:S)</f>
        <v>0</v>
      </c>
      <c r="H27" s="2">
        <f>SUMIF('RETURNEE DATASET'!B:B,A27,'RETURNEE DATASET'!T:T)</f>
        <v>0</v>
      </c>
      <c r="I27" s="2">
        <f>SUMIF('RETURNEE DATASET'!B:B,A27,'RETURNEE DATASET'!U:U)</f>
        <v>398</v>
      </c>
      <c r="J27" s="2">
        <f>SUMIF('RETURNEE DATASET'!B:B,A27,'RETURNEE DATASET'!X:X)</f>
        <v>0</v>
      </c>
      <c r="K27" s="2">
        <f>SUMIF('RETURNEE DATASET'!B:B,A27,'RETURNEE DATASET'!Y:Y)</f>
        <v>0</v>
      </c>
      <c r="L27" s="2">
        <f>SUMIF('RETURNEE DATASET'!B:B,A27,'RETURNEE DATASET'!AA:AA)</f>
        <v>0</v>
      </c>
      <c r="M27" s="2">
        <f>SUMIF('RETURNEE DATASET'!B:B,A27,'RETURNEE DATASET'!AB:AB)</f>
        <v>0</v>
      </c>
      <c r="N27" s="2">
        <f t="shared" si="4"/>
        <v>398</v>
      </c>
    </row>
    <row r="28" spans="1:20" x14ac:dyDescent="0.25">
      <c r="A28" s="1" t="s">
        <v>20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0</v>
      </c>
      <c r="E28" s="2">
        <f>SUMIF('RETURNEE DATASET'!B:B,A28,'RETURNEE DATASET'!Q:Q)</f>
        <v>13309</v>
      </c>
      <c r="F28" s="2">
        <f>SUMIF('RETURNEE DATASET'!B:B,A28,'RETURNEE DATASET'!R:R)</f>
        <v>0</v>
      </c>
      <c r="G28" s="2">
        <f>SUMIF('RETURNEE DATASET'!B:B,A28,'RETURNEE DATASET'!S:S)</f>
        <v>63</v>
      </c>
      <c r="H28" s="2">
        <f>SUMIF('RETURNEE DATASET'!B:B,A28,'RETURNEE DATASET'!T:T)</f>
        <v>0</v>
      </c>
      <c r="I28" s="2">
        <f>SUMIF('RETURNEE DATASET'!B:B,A28,'RETURNEE DATASET'!U:U)</f>
        <v>0</v>
      </c>
      <c r="J28" s="2">
        <f>SUMIF('RETURNEE DATASET'!B:B,A28,'RETURNEE DATASET'!X:X)</f>
        <v>0</v>
      </c>
      <c r="K28" s="2">
        <f>SUMIF('RETURNEE DATASET'!B:B,A28,'RETURNEE DATASET'!Y:Y)</f>
        <v>8679</v>
      </c>
      <c r="L28" s="2">
        <f>SUMIF('RETURNEE DATASET'!B:B,A28,'RETURNEE DATASET'!AA:AA)</f>
        <v>0</v>
      </c>
      <c r="M28" s="2">
        <f>SUMIF('RETURNEE DATASET'!B:B,A28,'RETURNEE DATASET'!AB:AB)</f>
        <v>10</v>
      </c>
      <c r="N28" s="2">
        <f t="shared" si="4"/>
        <v>22061</v>
      </c>
    </row>
    <row r="29" spans="1:20" s="15" customFormat="1" x14ac:dyDescent="0.25">
      <c r="A29" s="16" t="s">
        <v>22</v>
      </c>
      <c r="B29" s="2">
        <f>SUMIF('RETURNEE DATASET'!B:B,A29,'RETURNEE DATASET'!M:M)</f>
        <v>0</v>
      </c>
      <c r="C29" s="2">
        <f>SUMIF('RETURNEE DATASET'!B:B,A29,'RETURNEE DATASET'!N:N)</f>
        <v>0</v>
      </c>
      <c r="D29" s="2">
        <f>SUMIF('RETURNEE DATASET'!B:B,A29,'RETURNEE DATASET'!O:O)</f>
        <v>3299</v>
      </c>
      <c r="E29" s="2">
        <f>SUMIF('RETURNEE DATASET'!B:B,A29,'RETURNEE DATASET'!Q:Q)</f>
        <v>274</v>
      </c>
      <c r="F29" s="2">
        <f>SUMIF('RETURNEE DATASET'!B:B,A29,'RETURNEE DATASET'!R:R)</f>
        <v>2</v>
      </c>
      <c r="G29" s="2">
        <f>SUMIF('RETURNEE DATASET'!B:B,A29,'RETURNEE DATASET'!S:S)</f>
        <v>9170</v>
      </c>
      <c r="H29" s="2">
        <f>SUMIF('RETURNEE DATASET'!B:B,A29,'RETURNEE DATASET'!T:T)</f>
        <v>247</v>
      </c>
      <c r="I29" s="2">
        <f>SUMIF('RETURNEE DATASET'!B:B,A29,'RETURNEE DATASET'!U:U)</f>
        <v>19008</v>
      </c>
      <c r="J29" s="2">
        <f>SUMIF('RETURNEE DATASET'!B:B,A29,'RETURNEE DATASET'!X:X)</f>
        <v>162</v>
      </c>
      <c r="K29" s="2">
        <f>SUMIF('RETURNEE DATASET'!B:B,A29,'RETURNEE DATASET'!Y:Y)</f>
        <v>0</v>
      </c>
      <c r="L29" s="2">
        <f>SUMIF('RETURNEE DATASET'!B:B,A29,'RETURNEE DATASET'!AA:AA)</f>
        <v>16376</v>
      </c>
      <c r="M29" s="2">
        <f>SUMIF('RETURNEE DATASET'!B:B,A29,'RETURNEE DATASET'!AB:AB)</f>
        <v>2758</v>
      </c>
      <c r="N29" s="2">
        <f t="shared" si="4"/>
        <v>51296</v>
      </c>
    </row>
    <row r="30" spans="1:20" x14ac:dyDescent="0.25">
      <c r="A30" s="6" t="s">
        <v>48</v>
      </c>
      <c r="B30" s="7">
        <f>SUM(B23:B29)</f>
        <v>23361</v>
      </c>
      <c r="C30" s="7">
        <f t="shared" ref="C30:N30" si="6">SUM(C23:C29)</f>
        <v>465</v>
      </c>
      <c r="D30" s="7">
        <f t="shared" si="6"/>
        <v>11153</v>
      </c>
      <c r="E30" s="7">
        <f t="shared" si="6"/>
        <v>13696</v>
      </c>
      <c r="F30" s="7">
        <f t="shared" si="6"/>
        <v>22179</v>
      </c>
      <c r="G30" s="7">
        <f t="shared" si="6"/>
        <v>15669</v>
      </c>
      <c r="H30" s="7">
        <f t="shared" si="6"/>
        <v>265</v>
      </c>
      <c r="I30" s="7">
        <f t="shared" si="6"/>
        <v>23937</v>
      </c>
      <c r="J30" s="7">
        <f t="shared" si="6"/>
        <v>162</v>
      </c>
      <c r="K30" s="7">
        <f t="shared" si="6"/>
        <v>8679</v>
      </c>
      <c r="L30" s="7">
        <f t="shared" si="6"/>
        <v>16466</v>
      </c>
      <c r="M30" s="7">
        <f t="shared" si="6"/>
        <v>6001</v>
      </c>
      <c r="N30" s="7">
        <f t="shared" si="6"/>
        <v>142033</v>
      </c>
    </row>
    <row r="31" spans="1:20" ht="18" customHeight="1" x14ac:dyDescent="0.25"/>
    <row r="32" spans="1:20" ht="15" customHeight="1" x14ac:dyDescent="0.25">
      <c r="A32" s="26" t="s">
        <v>0</v>
      </c>
      <c r="B32" s="46" t="s">
        <v>3</v>
      </c>
      <c r="C32" s="46"/>
      <c r="D32" s="46"/>
      <c r="E32" s="46"/>
      <c r="F32" s="46"/>
      <c r="G32" s="46"/>
    </row>
    <row r="33" spans="1:8" ht="25.5" x14ac:dyDescent="0.25">
      <c r="A33" s="27" t="s">
        <v>46</v>
      </c>
      <c r="B33" s="29" t="s">
        <v>50</v>
      </c>
      <c r="C33" s="29" t="s">
        <v>51</v>
      </c>
      <c r="D33" s="29" t="s">
        <v>52</v>
      </c>
      <c r="E33" s="29" t="s">
        <v>53</v>
      </c>
      <c r="F33" s="29" t="s">
        <v>54</v>
      </c>
      <c r="G33" s="42" t="s">
        <v>77</v>
      </c>
      <c r="H33" s="29" t="s">
        <v>47</v>
      </c>
    </row>
    <row r="34" spans="1:8" x14ac:dyDescent="0.25">
      <c r="A34" s="1" t="s">
        <v>8</v>
      </c>
      <c r="B34" s="28">
        <f>SUMIF('RETURNEE DATASET'!B:B,A34,'RETURNEE DATASET'!AP:AP)</f>
        <v>4250</v>
      </c>
      <c r="C34" s="28">
        <f>SUMIF('RETURNEE DATASET'!B:B,A34,'RETURNEE DATASET'!AQ:AQ)</f>
        <v>2602</v>
      </c>
      <c r="D34" s="28">
        <f>SUMIF('RETURNEE DATASET'!B:B,A34,'RETURNEE DATASET'!AR:AR)</f>
        <v>0</v>
      </c>
      <c r="E34" s="28">
        <f>SUMIF('RETURNEE DATASET'!B:B,A34,'RETURNEE DATASET'!AS:AS)</f>
        <v>7653</v>
      </c>
      <c r="F34" s="28">
        <f>SUMIF('RETURNEE DATASET'!B:B,A34,'RETURNEE DATASET'!AT:AT)</f>
        <v>7197</v>
      </c>
      <c r="G34" s="28">
        <f>SUMIF('RETURNEE DATASET'!B:B,A34,'RETURNEE DATASET'!AU:AU)</f>
        <v>11811</v>
      </c>
      <c r="H34" s="28">
        <f>SUM(B34:G34)</f>
        <v>33513</v>
      </c>
    </row>
    <row r="35" spans="1:8" s="19" customFormat="1" x14ac:dyDescent="0.25">
      <c r="A35" s="40" t="s">
        <v>10</v>
      </c>
      <c r="B35" s="28">
        <f>SUMIF('RETURNEE DATASET'!B:B,A35,'RETURNEE DATASET'!AP:AP)</f>
        <v>0</v>
      </c>
      <c r="C35" s="28">
        <f>SUMIF('RETURNEE DATASET'!B:B,A35,'RETURNEE DATASET'!AQ:AQ)</f>
        <v>0</v>
      </c>
      <c r="D35" s="28">
        <f>SUMIF('RETURNEE DATASET'!B:B,A35,'RETURNEE DATASET'!AR:AR)</f>
        <v>1791</v>
      </c>
      <c r="E35" s="28">
        <f>SUMIF('RETURNEE DATASET'!B:B,A35,'RETURNEE DATASET'!AS:AS)</f>
        <v>3375</v>
      </c>
      <c r="F35" s="28">
        <f>SUMIF('RETURNEE DATASET'!B:B,A35,'RETURNEE DATASET'!AT:AT)</f>
        <v>0</v>
      </c>
      <c r="G35" s="28">
        <f>SUMIF('RETURNEE DATASET'!B:B,A35,'RETURNEE DATASET'!AU:AU)</f>
        <v>0</v>
      </c>
      <c r="H35" s="28">
        <f t="shared" ref="H35:H40" si="7">SUM(B35:G35)</f>
        <v>5166</v>
      </c>
    </row>
    <row r="36" spans="1:8" x14ac:dyDescent="0.25">
      <c r="A36" s="1" t="s">
        <v>13</v>
      </c>
      <c r="B36" s="2">
        <f>SUMIF('RETURNEE DATASET'!B:B,A36,'RETURNEE DATASET'!AP:AP)</f>
        <v>0</v>
      </c>
      <c r="C36" s="2">
        <f>SUMIF('RETURNEE DATASET'!B:B,A36,'RETURNEE DATASET'!AQ:AQ)</f>
        <v>16818</v>
      </c>
      <c r="D36" s="2">
        <f>SUMIF('RETURNEE DATASET'!B:B,A36,'RETURNEE DATASET'!AR:AR)</f>
        <v>1063</v>
      </c>
      <c r="E36" s="2">
        <f>SUMIF('RETURNEE DATASET'!B:B,A36,'RETURNEE DATASET'!AS:AS)</f>
        <v>9170</v>
      </c>
      <c r="F36" s="2">
        <f>SUMIF('RETURNEE DATASET'!B:B,A36,'RETURNEE DATASET'!AT:AT)</f>
        <v>0</v>
      </c>
      <c r="G36" s="28">
        <f>SUMIF('RETURNEE DATASET'!B:B,A36,'RETURNEE DATASET'!AU:AU)</f>
        <v>0</v>
      </c>
      <c r="H36" s="28">
        <f t="shared" si="7"/>
        <v>27051</v>
      </c>
    </row>
    <row r="37" spans="1:8" x14ac:dyDescent="0.25">
      <c r="A37" s="1" t="s">
        <v>14</v>
      </c>
      <c r="B37" s="2">
        <f>SUMIF('RETURNEE DATASET'!B:B,A37,'RETURNEE DATASET'!AP:AP)</f>
        <v>0</v>
      </c>
      <c r="C37" s="2">
        <f>SUMIF('RETURNEE DATASET'!B:B,A37,'RETURNEE DATASET'!AQ:AQ)</f>
        <v>0</v>
      </c>
      <c r="D37" s="2">
        <f>SUMIF('RETURNEE DATASET'!B:B,A37,'RETURNEE DATASET'!AR:AR)</f>
        <v>2568</v>
      </c>
      <c r="E37" s="2">
        <f>SUMIF('RETURNEE DATASET'!B:B,A37,'RETURNEE DATASET'!AS:AS)</f>
        <v>0</v>
      </c>
      <c r="F37" s="2">
        <f>SUMIF('RETURNEE DATASET'!B:B,A37,'RETURNEE DATASET'!AT:AT)</f>
        <v>0</v>
      </c>
      <c r="G37" s="28">
        <f>SUMIF('RETURNEE DATASET'!B:B,A37,'RETURNEE DATASET'!AU:AU)</f>
        <v>0</v>
      </c>
      <c r="H37" s="28">
        <f t="shared" si="7"/>
        <v>2568</v>
      </c>
    </row>
    <row r="38" spans="1:8" x14ac:dyDescent="0.25">
      <c r="A38" s="1" t="s">
        <v>16</v>
      </c>
      <c r="B38" s="2">
        <f>SUMIF('RETURNEE DATASET'!B:B,A38,'RETURNEE DATASET'!AP:AP)</f>
        <v>0</v>
      </c>
      <c r="C38" s="2">
        <f>SUMIF('RETURNEE DATASET'!B:B,A38,'RETURNEE DATASET'!AQ:AQ)</f>
        <v>0</v>
      </c>
      <c r="D38" s="2">
        <f>SUMIF('RETURNEE DATASET'!B:B,A38,'RETURNEE DATASET'!AR:AR)</f>
        <v>0</v>
      </c>
      <c r="E38" s="2">
        <f>SUMIF('RETURNEE DATASET'!B:B,A38,'RETURNEE DATASET'!AS:AS)</f>
        <v>398</v>
      </c>
      <c r="F38" s="2">
        <f>SUMIF('RETURNEE DATASET'!B:B,A38,'RETURNEE DATASET'!AT:AT)</f>
        <v>0</v>
      </c>
      <c r="G38" s="28">
        <f>SUMIF('RETURNEE DATASET'!B:B,A38,'RETURNEE DATASET'!AU:AU)</f>
        <v>0</v>
      </c>
      <c r="H38" s="28">
        <f t="shared" si="7"/>
        <v>398</v>
      </c>
    </row>
    <row r="39" spans="1:8" x14ac:dyDescent="0.25">
      <c r="A39" s="1" t="s">
        <v>20</v>
      </c>
      <c r="B39" s="2">
        <f>SUMIF('RETURNEE DATASET'!B:B,A39,'RETURNEE DATASET'!AP:AP)</f>
        <v>0</v>
      </c>
      <c r="C39" s="2">
        <f>SUMIF('RETURNEE DATASET'!B:B,A39,'RETURNEE DATASET'!AQ:AQ)</f>
        <v>0</v>
      </c>
      <c r="D39" s="2">
        <f>SUMIF('RETURNEE DATASET'!B:B,A39,'RETURNEE DATASET'!AR:AR)</f>
        <v>21983</v>
      </c>
      <c r="E39" s="2">
        <f>SUMIF('RETURNEE DATASET'!B:B,A39,'RETURNEE DATASET'!AS:AS)</f>
        <v>0</v>
      </c>
      <c r="F39" s="2">
        <f>SUMIF('RETURNEE DATASET'!B:B,A39,'RETURNEE DATASET'!AT:AT)</f>
        <v>0</v>
      </c>
      <c r="G39" s="28">
        <f>SUMIF('RETURNEE DATASET'!B:B,A39,'RETURNEE DATASET'!AU:AU)</f>
        <v>78</v>
      </c>
      <c r="H39" s="28">
        <f t="shared" si="7"/>
        <v>22061</v>
      </c>
    </row>
    <row r="40" spans="1:8" s="15" customFormat="1" x14ac:dyDescent="0.25">
      <c r="A40" s="16" t="s">
        <v>22</v>
      </c>
      <c r="B40" s="2">
        <f>SUMIF('RETURNEE DATASET'!B:B,A40,'RETURNEE DATASET'!AP:AP)</f>
        <v>5301</v>
      </c>
      <c r="C40" s="2">
        <f>SUMIF('RETURNEE DATASET'!B:B,A40,'RETURNEE DATASET'!AQ:AQ)</f>
        <v>26287</v>
      </c>
      <c r="D40" s="2">
        <f>SUMIF('RETURNEE DATASET'!B:B,A40,'RETURNEE DATASET'!AR:AR)</f>
        <v>9575</v>
      </c>
      <c r="E40" s="2">
        <f>SUMIF('RETURNEE DATASET'!B:B,A40,'RETURNEE DATASET'!AS:AS)</f>
        <v>8186</v>
      </c>
      <c r="F40" s="2">
        <f>SUMIF('RETURNEE DATASET'!B:B,A40,'RETURNEE DATASET'!AT:AT)</f>
        <v>257</v>
      </c>
      <c r="G40" s="28">
        <f>SUMIF('RETURNEE DATASET'!B:B,A40,'RETURNEE DATASET'!AU:AU)</f>
        <v>1702</v>
      </c>
      <c r="H40" s="28">
        <f t="shared" si="7"/>
        <v>51308</v>
      </c>
    </row>
    <row r="41" spans="1:8" x14ac:dyDescent="0.25">
      <c r="A41" s="6" t="s">
        <v>48</v>
      </c>
      <c r="B41" s="7">
        <f>SUM(B34:B40)</f>
        <v>9551</v>
      </c>
      <c r="C41" s="7">
        <f t="shared" ref="C41:F41" si="8">SUM(C34:C40)</f>
        <v>45707</v>
      </c>
      <c r="D41" s="7">
        <f t="shared" si="8"/>
        <v>36980</v>
      </c>
      <c r="E41" s="7">
        <f t="shared" si="8"/>
        <v>28782</v>
      </c>
      <c r="F41" s="7">
        <f t="shared" si="8"/>
        <v>7454</v>
      </c>
      <c r="G41" s="7">
        <f t="shared" ref="G41" si="9">SUM(G34:G40)</f>
        <v>13591</v>
      </c>
      <c r="H41" s="7">
        <f>SUM(H34:H40)</f>
        <v>142065</v>
      </c>
    </row>
    <row r="42" spans="1:8" ht="18" customHeight="1" x14ac:dyDescent="0.25"/>
  </sheetData>
  <mergeCells count="11">
    <mergeCell ref="A8:B8"/>
    <mergeCell ref="B10:M10"/>
    <mergeCell ref="B32:G32"/>
    <mergeCell ref="A1:B1"/>
    <mergeCell ref="A3:B3"/>
    <mergeCell ref="A4:B4"/>
    <mergeCell ref="A5:B5"/>
    <mergeCell ref="A6:B6"/>
    <mergeCell ref="A2:B2"/>
    <mergeCell ref="B21:N21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KHALAF Rofand</cp:lastModifiedBy>
  <dcterms:created xsi:type="dcterms:W3CDTF">2015-10-27T09:50:29Z</dcterms:created>
  <dcterms:modified xsi:type="dcterms:W3CDTF">2016-08-18T13:38:48Z</dcterms:modified>
</cp:coreProperties>
</file>